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150" windowWidth="8475" windowHeight="5325" firstSheet="3" activeTab="3"/>
  </bookViews>
  <sheets>
    <sheet name="RE Taxes" sheetId="6" state="hidden" r:id="rId1"/>
    <sheet name=" Predevelopment Loan" sheetId="5" state="hidden" r:id="rId2"/>
    <sheet name="Project Size" sheetId="13" r:id="rId3"/>
    <sheet name="Development Budget" sheetId="1" r:id="rId4"/>
    <sheet name="Taxes" sheetId="9" state="hidden" r:id="rId5"/>
    <sheet name="LIHTC" sheetId="14" state="hidden" r:id="rId6"/>
    <sheet name="Rent Roll" sheetId="2" r:id="rId7"/>
    <sheet name="Operating Budget" sheetId="3" state="hidden" r:id="rId8"/>
    <sheet name="resurrection house reference" sheetId="8" state="hidden" r:id="rId9"/>
    <sheet name="BC Operating" sheetId="10" state="hidden" r:id="rId10"/>
    <sheet name="Operating B." sheetId="12" r:id="rId11"/>
    <sheet name="HMFA Operating 5-10-12" sheetId="11" state="hidden" r:id="rId12"/>
    <sheet name="bostwick project size" sheetId="15" r:id="rId13"/>
    <sheet name="bostwick dev budget" sheetId="16" r:id="rId14"/>
    <sheet name="bostwick rent roll" sheetId="17" r:id="rId15"/>
    <sheet name="bostwick operating" sheetId="18" r:id="rId16"/>
    <sheet name="combined info" sheetId="19" r:id="rId17"/>
    <sheet name="Sheet1" sheetId="20" r:id="rId18"/>
  </sheets>
  <externalReferences>
    <externalReference r:id="rId19"/>
    <externalReference r:id="rId20"/>
    <externalReference r:id="rId21"/>
  </externalReferences>
  <definedNames>
    <definedName name="_xlnm.Print_Area" localSheetId="1">' Predevelopment Loan'!$A$1:$C$37</definedName>
    <definedName name="_xlnm.Print_Area" localSheetId="3">'Development Budget'!$A$1:$S$79</definedName>
  </definedNames>
  <calcPr calcId="145621"/>
</workbook>
</file>

<file path=xl/calcChain.xml><?xml version="1.0" encoding="utf-8"?>
<calcChain xmlns="http://schemas.openxmlformats.org/spreadsheetml/2006/main">
  <c r="J22" i="19" l="1"/>
  <c r="J23" i="19" s="1"/>
  <c r="J20" i="19"/>
  <c r="J19" i="19"/>
  <c r="L17" i="19"/>
  <c r="J17" i="19"/>
  <c r="J16" i="19"/>
  <c r="J15" i="19"/>
  <c r="K12" i="19"/>
  <c r="J12" i="19"/>
  <c r="J11" i="19"/>
  <c r="J10" i="19"/>
  <c r="J8" i="19"/>
  <c r="D22" i="19"/>
  <c r="D21" i="19"/>
  <c r="D20" i="19"/>
  <c r="D17" i="19"/>
  <c r="B22" i="19"/>
  <c r="B21" i="19"/>
  <c r="B20" i="19"/>
  <c r="B19" i="19"/>
  <c r="B17" i="19"/>
  <c r="C22" i="19"/>
  <c r="C21" i="19"/>
  <c r="C19" i="19"/>
  <c r="C17" i="19"/>
  <c r="H22" i="2" l="1"/>
  <c r="H21" i="2"/>
  <c r="B22" i="17"/>
  <c r="C12" i="1" l="1"/>
  <c r="AF35" i="1"/>
  <c r="AE42" i="1" l="1"/>
  <c r="AE41" i="1"/>
  <c r="AE40" i="1"/>
  <c r="AE35" i="1"/>
  <c r="AE33" i="1"/>
  <c r="AE32" i="1"/>
  <c r="AE31" i="1"/>
  <c r="AE30" i="1"/>
  <c r="AE28" i="1"/>
  <c r="AE55" i="1" s="1"/>
  <c r="AF55" i="1" s="1"/>
  <c r="AE22" i="1"/>
  <c r="AE12" i="1"/>
  <c r="B22" i="2"/>
  <c r="D20" i="2"/>
  <c r="D19" i="2"/>
  <c r="C20" i="2"/>
  <c r="C19" i="2"/>
  <c r="C8" i="17"/>
  <c r="X52" i="16"/>
  <c r="X51" i="16"/>
  <c r="X47" i="16"/>
  <c r="X41" i="16"/>
  <c r="X40" i="16"/>
  <c r="X34" i="16"/>
  <c r="X31" i="16"/>
  <c r="X30" i="16"/>
  <c r="X29" i="16"/>
  <c r="X27" i="16"/>
  <c r="X21" i="16"/>
  <c r="X20" i="16"/>
  <c r="X12" i="16"/>
  <c r="A2" i="16"/>
  <c r="A1" i="17" s="1"/>
  <c r="A1" i="18" s="1"/>
  <c r="B6" i="16"/>
  <c r="C4" i="18" s="1"/>
  <c r="D18" i="2"/>
  <c r="C18" i="2"/>
  <c r="C32" i="2"/>
  <c r="D10" i="2"/>
  <c r="C10" i="2"/>
  <c r="E70" i="16" l="1"/>
  <c r="E15" i="16"/>
  <c r="D8" i="2"/>
  <c r="C8" i="2"/>
  <c r="E18" i="13" l="1"/>
  <c r="C8" i="19" l="1"/>
  <c r="B8" i="19"/>
  <c r="D8" i="19" l="1"/>
  <c r="D35" i="18"/>
  <c r="D34" i="18"/>
  <c r="Q24" i="18"/>
  <c r="O24" i="18"/>
  <c r="N24" i="18"/>
  <c r="M24" i="18"/>
  <c r="C24" i="18"/>
  <c r="D24" i="18" s="1"/>
  <c r="E24" i="18" s="1"/>
  <c r="F24" i="18" s="1"/>
  <c r="G24" i="18" s="1"/>
  <c r="H24" i="18" s="1"/>
  <c r="I24" i="18" s="1"/>
  <c r="J24" i="18" s="1"/>
  <c r="K24" i="18" s="1"/>
  <c r="L24" i="18" s="1"/>
  <c r="C22" i="18"/>
  <c r="D22" i="18" s="1"/>
  <c r="E22" i="18" s="1"/>
  <c r="F22" i="18" s="1"/>
  <c r="G22" i="18" s="1"/>
  <c r="H22" i="18" s="1"/>
  <c r="I22" i="18" s="1"/>
  <c r="J22" i="18" s="1"/>
  <c r="K22" i="18" s="1"/>
  <c r="L22" i="18" s="1"/>
  <c r="M22" i="18" s="1"/>
  <c r="N22" i="18" s="1"/>
  <c r="O22" i="18" s="1"/>
  <c r="P22" i="18" s="1"/>
  <c r="Q22" i="18" s="1"/>
  <c r="C21" i="18"/>
  <c r="D21" i="18" s="1"/>
  <c r="E21" i="18" s="1"/>
  <c r="F21" i="18" s="1"/>
  <c r="G21" i="18" s="1"/>
  <c r="H21" i="18" s="1"/>
  <c r="I21" i="18" s="1"/>
  <c r="J21" i="18" s="1"/>
  <c r="K21" i="18" s="1"/>
  <c r="L21" i="18" s="1"/>
  <c r="M21" i="18" s="1"/>
  <c r="N21" i="18" s="1"/>
  <c r="O21" i="18" s="1"/>
  <c r="P21" i="18" s="1"/>
  <c r="Q21" i="18" s="1"/>
  <c r="R20" i="18"/>
  <c r="P20" i="18"/>
  <c r="C19" i="18"/>
  <c r="D19" i="18" s="1"/>
  <c r="E19" i="18" s="1"/>
  <c r="F19" i="18" s="1"/>
  <c r="G19" i="18" s="1"/>
  <c r="H19" i="18" s="1"/>
  <c r="I19" i="18" s="1"/>
  <c r="J19" i="18" s="1"/>
  <c r="K19" i="18" s="1"/>
  <c r="L19" i="18" s="1"/>
  <c r="M19" i="18" s="1"/>
  <c r="N19" i="18" s="1"/>
  <c r="O19" i="18" s="1"/>
  <c r="P19" i="18" s="1"/>
  <c r="Q19" i="18" s="1"/>
  <c r="C17" i="18"/>
  <c r="D17" i="18" s="1"/>
  <c r="E17" i="18" s="1"/>
  <c r="F17" i="18" s="1"/>
  <c r="G17" i="18" s="1"/>
  <c r="H17" i="18" s="1"/>
  <c r="I17" i="18" s="1"/>
  <c r="J17" i="18" s="1"/>
  <c r="K17" i="18" s="1"/>
  <c r="L17" i="18" s="1"/>
  <c r="M17" i="18" s="1"/>
  <c r="N17" i="18" s="1"/>
  <c r="O17" i="18" s="1"/>
  <c r="P17" i="18" s="1"/>
  <c r="Q17" i="18" s="1"/>
  <c r="C16" i="18"/>
  <c r="Q12" i="18"/>
  <c r="P12" i="18"/>
  <c r="O12" i="18"/>
  <c r="O20" i="18" s="1"/>
  <c r="N12" i="18"/>
  <c r="M12" i="18"/>
  <c r="P24" i="18"/>
  <c r="C32" i="17"/>
  <c r="C17" i="17" s="1"/>
  <c r="C24" i="17"/>
  <c r="C10" i="17"/>
  <c r="C12" i="17" s="1"/>
  <c r="N74" i="16"/>
  <c r="N75" i="16" s="1"/>
  <c r="J74" i="16"/>
  <c r="I74" i="16"/>
  <c r="E65" i="16"/>
  <c r="A65" i="16"/>
  <c r="A64" i="16"/>
  <c r="A63" i="16"/>
  <c r="E59" i="16"/>
  <c r="B13" i="19" s="1"/>
  <c r="J55" i="16"/>
  <c r="J60" i="16" s="1"/>
  <c r="J53" i="16"/>
  <c r="I53" i="16"/>
  <c r="E53" i="16"/>
  <c r="F52" i="16"/>
  <c r="F51" i="16"/>
  <c r="C51" i="16"/>
  <c r="C50" i="16"/>
  <c r="C49" i="16"/>
  <c r="R47" i="16"/>
  <c r="F47" i="16"/>
  <c r="C47" i="16"/>
  <c r="C45" i="16"/>
  <c r="C43" i="16"/>
  <c r="R41" i="16"/>
  <c r="Q41" i="16"/>
  <c r="F41" i="16"/>
  <c r="R40" i="16"/>
  <c r="Q40" i="16"/>
  <c r="F40" i="16"/>
  <c r="R39" i="16"/>
  <c r="Q39" i="16"/>
  <c r="C39" i="16"/>
  <c r="J35" i="16"/>
  <c r="I35" i="16"/>
  <c r="R34" i="16"/>
  <c r="Q34" i="16"/>
  <c r="F34" i="16"/>
  <c r="C34" i="16"/>
  <c r="C33" i="16"/>
  <c r="R32" i="16"/>
  <c r="Q32" i="16"/>
  <c r="F32" i="16"/>
  <c r="R31" i="16"/>
  <c r="Q31" i="16"/>
  <c r="F31" i="16"/>
  <c r="C31" i="16"/>
  <c r="R30" i="16"/>
  <c r="Q30" i="16"/>
  <c r="F30" i="16"/>
  <c r="C30" i="16"/>
  <c r="R29" i="16"/>
  <c r="Q29" i="16"/>
  <c r="F29" i="16"/>
  <c r="C29" i="16"/>
  <c r="C28" i="16"/>
  <c r="R27" i="16"/>
  <c r="Q27" i="16"/>
  <c r="F27" i="16"/>
  <c r="C27" i="16"/>
  <c r="E26" i="16"/>
  <c r="X26" i="16" s="1"/>
  <c r="X53" i="16" s="1"/>
  <c r="Y53" i="16" s="1"/>
  <c r="F21" i="16"/>
  <c r="C21" i="16"/>
  <c r="C20" i="16"/>
  <c r="I19" i="16"/>
  <c r="I23" i="16" s="1"/>
  <c r="C17" i="16"/>
  <c r="E16" i="16"/>
  <c r="R12" i="16"/>
  <c r="Q12" i="16"/>
  <c r="F12" i="16"/>
  <c r="C12" i="16"/>
  <c r="C48" i="16"/>
  <c r="D11" i="15"/>
  <c r="E10" i="15"/>
  <c r="E9" i="15"/>
  <c r="F9" i="15" s="1"/>
  <c r="G9" i="15" s="1"/>
  <c r="E8" i="15"/>
  <c r="F8" i="15" s="1"/>
  <c r="G8" i="15" s="1"/>
  <c r="F10" i="15" l="1"/>
  <c r="G10" i="15" s="1"/>
  <c r="G11" i="15" s="1"/>
  <c r="B7" i="16" s="1"/>
  <c r="C53" i="16"/>
  <c r="B11" i="19"/>
  <c r="I55" i="16"/>
  <c r="I60" i="16" s="1"/>
  <c r="C26" i="16"/>
  <c r="C38" i="16"/>
  <c r="C40" i="16"/>
  <c r="C44" i="16"/>
  <c r="C13" i="17"/>
  <c r="C15" i="17" s="1"/>
  <c r="C16" i="17" s="1"/>
  <c r="C18" i="17" s="1"/>
  <c r="C19" i="17" s="1"/>
  <c r="C20" i="17" s="1"/>
  <c r="C18" i="16"/>
  <c r="C42" i="16"/>
  <c r="C46" i="16"/>
  <c r="E63" i="16"/>
  <c r="N20" i="18"/>
  <c r="D16" i="18"/>
  <c r="M20" i="18"/>
  <c r="Q20" i="18"/>
  <c r="C18" i="18"/>
  <c r="D18" i="18" s="1"/>
  <c r="E18" i="18" s="1"/>
  <c r="F18" i="18" s="1"/>
  <c r="G18" i="18" s="1"/>
  <c r="H18" i="18" s="1"/>
  <c r="I18" i="18" s="1"/>
  <c r="J18" i="18" s="1"/>
  <c r="K18" i="18" s="1"/>
  <c r="L18" i="18" s="1"/>
  <c r="M18" i="18" s="1"/>
  <c r="N18" i="18" s="1"/>
  <c r="O18" i="18" s="1"/>
  <c r="P18" i="18" s="1"/>
  <c r="Q18" i="18" s="1"/>
  <c r="C23" i="18"/>
  <c r="D23" i="18" s="1"/>
  <c r="E23" i="18" s="1"/>
  <c r="F23" i="18" s="1"/>
  <c r="G23" i="18" s="1"/>
  <c r="H23" i="18" s="1"/>
  <c r="I23" i="18" s="1"/>
  <c r="J23" i="18" s="1"/>
  <c r="K23" i="18" s="1"/>
  <c r="L23" i="18" s="1"/>
  <c r="M23" i="18" s="1"/>
  <c r="N23" i="18" s="1"/>
  <c r="O23" i="18" s="1"/>
  <c r="P23" i="18" s="1"/>
  <c r="Q23" i="18" s="1"/>
  <c r="F26" i="16"/>
  <c r="F60" i="16" s="1"/>
  <c r="Q26" i="16"/>
  <c r="Q53" i="16" s="1"/>
  <c r="C59" i="16"/>
  <c r="R26" i="16"/>
  <c r="R53" i="16" s="1"/>
  <c r="C32" i="16"/>
  <c r="C41" i="16"/>
  <c r="C52" i="16"/>
  <c r="C72" i="16"/>
  <c r="C65" i="16" s="1"/>
  <c r="E35" i="16"/>
  <c r="B10" i="19" s="1"/>
  <c r="C9" i="18" l="1"/>
  <c r="C11" i="18" s="1"/>
  <c r="C12" i="18" s="1"/>
  <c r="C20" i="18" s="1"/>
  <c r="C25" i="18" s="1"/>
  <c r="D72" i="16"/>
  <c r="D65" i="16" s="1"/>
  <c r="D52" i="16"/>
  <c r="D59" i="16"/>
  <c r="D32" i="16"/>
  <c r="D27" i="16"/>
  <c r="D29" i="16"/>
  <c r="D28" i="16"/>
  <c r="D44" i="16"/>
  <c r="D16" i="16"/>
  <c r="D50" i="16"/>
  <c r="D39" i="16"/>
  <c r="D12" i="16"/>
  <c r="D45" i="16"/>
  <c r="D34" i="16"/>
  <c r="D20" i="16"/>
  <c r="D46" i="16"/>
  <c r="D70" i="16"/>
  <c r="D18" i="16"/>
  <c r="D53" i="16"/>
  <c r="D43" i="16"/>
  <c r="D38" i="16"/>
  <c r="D41" i="16"/>
  <c r="D30" i="16"/>
  <c r="D33" i="16"/>
  <c r="D47" i="16"/>
  <c r="D40" i="16"/>
  <c r="D31" i="16"/>
  <c r="D17" i="16"/>
  <c r="D49" i="16"/>
  <c r="D51" i="16"/>
  <c r="D21" i="16"/>
  <c r="D48" i="16"/>
  <c r="D26" i="16"/>
  <c r="D42" i="16"/>
  <c r="D63" i="16"/>
  <c r="C63" i="16"/>
  <c r="E16" i="18"/>
  <c r="G60" i="16"/>
  <c r="N60" i="16"/>
  <c r="N71" i="16" s="1"/>
  <c r="D35" i="16"/>
  <c r="C35" i="16"/>
  <c r="E19" i="16"/>
  <c r="D15" i="16"/>
  <c r="D9" i="18" l="1"/>
  <c r="B25" i="18"/>
  <c r="C27" i="18"/>
  <c r="F16" i="18"/>
  <c r="D19" i="16"/>
  <c r="C19" i="16"/>
  <c r="E22" i="16"/>
  <c r="B27" i="16"/>
  <c r="D11" i="18" l="1"/>
  <c r="D12" i="18" s="1"/>
  <c r="D20" i="18" s="1"/>
  <c r="D25" i="18" s="1"/>
  <c r="D27" i="18" s="1"/>
  <c r="E9" i="18"/>
  <c r="G16" i="18"/>
  <c r="C28" i="18"/>
  <c r="C30" i="18" s="1"/>
  <c r="D22" i="16"/>
  <c r="C22" i="16"/>
  <c r="E23" i="16"/>
  <c r="B9" i="19" s="1"/>
  <c r="E11" i="18" l="1"/>
  <c r="E12" i="18" s="1"/>
  <c r="E20" i="18" s="1"/>
  <c r="E25" i="18" s="1"/>
  <c r="E27" i="18" s="1"/>
  <c r="F9" i="18"/>
  <c r="D38" i="18"/>
  <c r="E73" i="16" s="1"/>
  <c r="C36" i="18"/>
  <c r="D36" i="18" s="1"/>
  <c r="D28" i="18"/>
  <c r="H16" i="18"/>
  <c r="D23" i="16"/>
  <c r="C23" i="16"/>
  <c r="E55" i="16"/>
  <c r="G9" i="18" l="1"/>
  <c r="F11" i="18"/>
  <c r="F12" i="18" s="1"/>
  <c r="F20" i="18" s="1"/>
  <c r="F25" i="18" s="1"/>
  <c r="F27" i="18" s="1"/>
  <c r="C73" i="16"/>
  <c r="E66" i="16"/>
  <c r="D73" i="16"/>
  <c r="I16" i="18"/>
  <c r="E28" i="18"/>
  <c r="D30" i="18"/>
  <c r="D29" i="18"/>
  <c r="E58" i="16"/>
  <c r="B12" i="19" s="1"/>
  <c r="D55" i="16"/>
  <c r="C55" i="16"/>
  <c r="E60" i="16" l="1"/>
  <c r="C60" i="16" s="1"/>
  <c r="G11" i="18"/>
  <c r="G12" i="18" s="1"/>
  <c r="G20" i="18" s="1"/>
  <c r="G25" i="18" s="1"/>
  <c r="G27" i="18" s="1"/>
  <c r="H9" i="18"/>
  <c r="C66" i="16"/>
  <c r="D66" i="16"/>
  <c r="F28" i="18"/>
  <c r="E29" i="18"/>
  <c r="E30" i="18"/>
  <c r="J16" i="18"/>
  <c r="D58" i="16"/>
  <c r="C58" i="16"/>
  <c r="H58" i="16"/>
  <c r="D60" i="16" l="1"/>
  <c r="B2" i="19"/>
  <c r="I9" i="18"/>
  <c r="H11" i="18"/>
  <c r="H12" i="18" s="1"/>
  <c r="H20" i="18" s="1"/>
  <c r="H25" i="18" s="1"/>
  <c r="H27" i="18" s="1"/>
  <c r="K16" i="18"/>
  <c r="G28" i="18"/>
  <c r="F29" i="18"/>
  <c r="F30" i="18"/>
  <c r="I11" i="18" l="1"/>
  <c r="I12" i="18" s="1"/>
  <c r="I20" i="18" s="1"/>
  <c r="I25" i="18" s="1"/>
  <c r="I27" i="18" s="1"/>
  <c r="J9" i="18"/>
  <c r="H28" i="18"/>
  <c r="G29" i="18"/>
  <c r="G30" i="18"/>
  <c r="L16" i="18"/>
  <c r="K9" i="18" l="1"/>
  <c r="J11" i="18"/>
  <c r="J12" i="18" s="1"/>
  <c r="J20" i="18" s="1"/>
  <c r="J25" i="18" s="1"/>
  <c r="J27" i="18" s="1"/>
  <c r="I28" i="18"/>
  <c r="H29" i="18"/>
  <c r="H30" i="18"/>
  <c r="M16" i="18"/>
  <c r="L9" i="18" l="1"/>
  <c r="K11" i="18"/>
  <c r="K12" i="18" s="1"/>
  <c r="K20" i="18" s="1"/>
  <c r="K25" i="18" s="1"/>
  <c r="K27" i="18" s="1"/>
  <c r="J28" i="18"/>
  <c r="I29" i="18"/>
  <c r="I30" i="18"/>
  <c r="M25" i="18"/>
  <c r="M27" i="18" s="1"/>
  <c r="N16" i="18"/>
  <c r="L11" i="18" l="1"/>
  <c r="L12" i="18" s="1"/>
  <c r="L20" i="18" s="1"/>
  <c r="L25" i="18" s="1"/>
  <c r="L27" i="18" s="1"/>
  <c r="M9" i="18"/>
  <c r="N25" i="18"/>
  <c r="N27" i="18" s="1"/>
  <c r="O16" i="18"/>
  <c r="K28" i="18"/>
  <c r="J30" i="18"/>
  <c r="J29" i="18"/>
  <c r="N9" i="18" l="1"/>
  <c r="M11" i="18"/>
  <c r="M2" i="18" s="1"/>
  <c r="L28" i="18"/>
  <c r="K30" i="18"/>
  <c r="K29" i="18"/>
  <c r="O25" i="18"/>
  <c r="O27" i="18" s="1"/>
  <c r="P16" i="18"/>
  <c r="O9" i="18" l="1"/>
  <c r="N11" i="18"/>
  <c r="N2" i="18" s="1"/>
  <c r="P25" i="18"/>
  <c r="P27" i="18" s="1"/>
  <c r="Q16" i="18"/>
  <c r="Q25" i="18" s="1"/>
  <c r="Q27" i="18" s="1"/>
  <c r="M28" i="18"/>
  <c r="L29" i="18"/>
  <c r="L30" i="18"/>
  <c r="O11" i="18" l="1"/>
  <c r="O2" i="18" s="1"/>
  <c r="P9" i="18"/>
  <c r="N28" i="18"/>
  <c r="M30" i="18"/>
  <c r="M29" i="18"/>
  <c r="P11" i="18" l="1"/>
  <c r="P2" i="18" s="1"/>
  <c r="Q9" i="18"/>
  <c r="Q11" i="18" s="1"/>
  <c r="Q2" i="18" s="1"/>
  <c r="O28" i="18"/>
  <c r="N30" i="18"/>
  <c r="N29" i="18"/>
  <c r="P28" i="18" l="1"/>
  <c r="O29" i="18"/>
  <c r="O30" i="18"/>
  <c r="Q28" i="18" l="1"/>
  <c r="P29" i="18"/>
  <c r="P30" i="18"/>
  <c r="Q30" i="18" l="1"/>
  <c r="Q29" i="18"/>
  <c r="T54" i="1" l="1"/>
  <c r="S48" i="1" l="1"/>
  <c r="S42" i="1"/>
  <c r="S41" i="1"/>
  <c r="S40" i="1"/>
  <c r="S35" i="1"/>
  <c r="S33" i="1"/>
  <c r="S32" i="1"/>
  <c r="S31" i="1"/>
  <c r="S28" i="1"/>
  <c r="S30" i="1"/>
  <c r="S12" i="1"/>
  <c r="A64" i="1" l="1"/>
  <c r="D13" i="2"/>
  <c r="D15" i="2" s="1"/>
  <c r="D12" i="2" l="1"/>
  <c r="D16" i="2"/>
  <c r="R42" i="1"/>
  <c r="R41" i="1"/>
  <c r="R40" i="1"/>
  <c r="R35" i="1"/>
  <c r="R33" i="1"/>
  <c r="R32" i="1"/>
  <c r="R31" i="1"/>
  <c r="R30" i="1"/>
  <c r="R28" i="1"/>
  <c r="R12" i="1"/>
  <c r="E23" i="13"/>
  <c r="E24" i="13" s="1"/>
  <c r="E25" i="13" s="1"/>
  <c r="D6" i="13"/>
  <c r="E16" i="13"/>
  <c r="G18" i="13" s="1"/>
  <c r="E17" i="13" l="1"/>
  <c r="E20" i="13" s="1"/>
  <c r="E27" i="13" s="1"/>
  <c r="F23" i="13"/>
  <c r="A2" i="1"/>
  <c r="O73" i="1" l="1"/>
  <c r="O74" i="1" s="1"/>
  <c r="E27" i="1"/>
  <c r="AE27" i="1" s="1"/>
  <c r="R27" i="1" l="1"/>
  <c r="R54" i="1" s="1"/>
  <c r="S27" i="1"/>
  <c r="S54" i="1" s="1"/>
  <c r="I77" i="1"/>
  <c r="E17" i="14" l="1"/>
  <c r="E19" i="14" s="1"/>
  <c r="E23" i="14" s="1"/>
  <c r="D13" i="14"/>
  <c r="D12" i="14"/>
  <c r="D11" i="14"/>
  <c r="D10" i="14"/>
  <c r="D9" i="14"/>
  <c r="D8" i="14"/>
  <c r="D7" i="14"/>
  <c r="D6" i="14"/>
  <c r="D5" i="14"/>
  <c r="D4" i="14"/>
  <c r="D15" i="14" l="1"/>
  <c r="E25" i="14"/>
  <c r="E27" i="14" s="1"/>
  <c r="E29" i="14" s="1"/>
  <c r="A1" i="2"/>
  <c r="A1" i="12" s="1"/>
  <c r="E54" i="1"/>
  <c r="C11" i="19" s="1"/>
  <c r="D11" i="19" s="1"/>
  <c r="A80" i="1"/>
  <c r="A79" i="1"/>
  <c r="A77" i="1"/>
  <c r="E80" i="1"/>
  <c r="D35" i="12"/>
  <c r="D34" i="12"/>
  <c r="C13" i="2" l="1"/>
  <c r="C15" i="2" s="1"/>
  <c r="C16" i="2" s="1"/>
  <c r="C17" i="2" l="1"/>
  <c r="D17" i="2"/>
  <c r="D29" i="14"/>
  <c r="C12" i="2"/>
  <c r="C7" i="13"/>
  <c r="B6" i="1" s="1"/>
  <c r="D5" i="13"/>
  <c r="D7" i="13" s="1"/>
  <c r="D8" i="13" s="1"/>
  <c r="D9" i="13" s="1"/>
  <c r="E70" i="1" l="1"/>
  <c r="E64" i="1" s="1"/>
  <c r="C64" i="1" s="1"/>
  <c r="E19" i="1"/>
  <c r="E71" i="1"/>
  <c r="E18" i="1"/>
  <c r="C9" i="12"/>
  <c r="C15" i="1"/>
  <c r="F7" i="19"/>
  <c r="F8" i="19" s="1"/>
  <c r="O61" i="1"/>
  <c r="O68" i="1" s="1"/>
  <c r="O71" i="1" s="1"/>
  <c r="H61" i="1"/>
  <c r="E16" i="1"/>
  <c r="D16" i="1" s="1"/>
  <c r="C17" i="1"/>
  <c r="C45" i="1"/>
  <c r="E79" i="1"/>
  <c r="C34" i="1"/>
  <c r="C30" i="1"/>
  <c r="C22" i="1"/>
  <c r="C33" i="1"/>
  <c r="C29" i="1"/>
  <c r="C32" i="1"/>
  <c r="C28" i="1"/>
  <c r="C20" i="1"/>
  <c r="C35" i="1"/>
  <c r="C31" i="1"/>
  <c r="C27" i="1"/>
  <c r="C82" i="1"/>
  <c r="C78" i="1"/>
  <c r="C41" i="1"/>
  <c r="C39" i="1"/>
  <c r="C40" i="1"/>
  <c r="C53" i="1"/>
  <c r="C49" i="1"/>
  <c r="C44" i="1"/>
  <c r="C80" i="1"/>
  <c r="C52" i="1"/>
  <c r="C48" i="1"/>
  <c r="C43" i="1"/>
  <c r="C51" i="1"/>
  <c r="C47" i="1"/>
  <c r="C42" i="1"/>
  <c r="C4" i="12"/>
  <c r="C50" i="1"/>
  <c r="C46" i="1"/>
  <c r="C71" i="1" l="1"/>
  <c r="E71" i="16"/>
  <c r="E65" i="1"/>
  <c r="E77" i="1"/>
  <c r="C77" i="1" s="1"/>
  <c r="C22" i="12"/>
  <c r="D22" i="12" s="1"/>
  <c r="E22" i="12" s="1"/>
  <c r="F22" i="12" s="1"/>
  <c r="G22" i="12" s="1"/>
  <c r="H22" i="12" s="1"/>
  <c r="I22" i="12" s="1"/>
  <c r="J22" i="12" s="1"/>
  <c r="K22" i="12" s="1"/>
  <c r="L22" i="12" s="1"/>
  <c r="C17" i="12"/>
  <c r="D17" i="12" s="1"/>
  <c r="E17" i="12" s="1"/>
  <c r="F17" i="12" s="1"/>
  <c r="G17" i="12" s="1"/>
  <c r="H17" i="12" s="1"/>
  <c r="I17" i="12" s="1"/>
  <c r="J17" i="12" s="1"/>
  <c r="K17" i="12" s="1"/>
  <c r="L17" i="12" s="1"/>
  <c r="C21" i="12"/>
  <c r="D21" i="12" s="1"/>
  <c r="E21" i="12" s="1"/>
  <c r="F21" i="12" s="1"/>
  <c r="G21" i="12" s="1"/>
  <c r="H21" i="12" s="1"/>
  <c r="I21" i="12" s="1"/>
  <c r="J21" i="12" s="1"/>
  <c r="K21" i="12" s="1"/>
  <c r="L21" i="12" s="1"/>
  <c r="C16" i="12"/>
  <c r="D16" i="12" s="1"/>
  <c r="E16" i="12" s="1"/>
  <c r="F16" i="12" s="1"/>
  <c r="G16" i="12" s="1"/>
  <c r="H16" i="12" s="1"/>
  <c r="I16" i="12" s="1"/>
  <c r="J16" i="12" s="1"/>
  <c r="K16" i="12" s="1"/>
  <c r="L16" i="12" s="1"/>
  <c r="C24" i="12"/>
  <c r="D24" i="12" s="1"/>
  <c r="E24" i="12" s="1"/>
  <c r="F24" i="12" s="1"/>
  <c r="G24" i="12" s="1"/>
  <c r="H24" i="12" s="1"/>
  <c r="I24" i="12" s="1"/>
  <c r="J24" i="12" s="1"/>
  <c r="K24" i="12" s="1"/>
  <c r="L24" i="12" s="1"/>
  <c r="C23" i="12"/>
  <c r="D23" i="12" s="1"/>
  <c r="E23" i="12" s="1"/>
  <c r="F23" i="12" s="1"/>
  <c r="G23" i="12" s="1"/>
  <c r="H23" i="12" s="1"/>
  <c r="I23" i="12" s="1"/>
  <c r="J23" i="12" s="1"/>
  <c r="K23" i="12" s="1"/>
  <c r="L23" i="12" s="1"/>
  <c r="C18" i="12"/>
  <c r="D18" i="12" s="1"/>
  <c r="E18" i="12" s="1"/>
  <c r="F18" i="12" s="1"/>
  <c r="G18" i="12" s="1"/>
  <c r="H18" i="12" s="1"/>
  <c r="I18" i="12" s="1"/>
  <c r="J18" i="12" s="1"/>
  <c r="K18" i="12" s="1"/>
  <c r="L18" i="12" s="1"/>
  <c r="C79" i="1"/>
  <c r="C19" i="12"/>
  <c r="D19" i="12" s="1"/>
  <c r="E19" i="12" s="1"/>
  <c r="F19" i="12" s="1"/>
  <c r="G19" i="12" s="1"/>
  <c r="H19" i="12" s="1"/>
  <c r="I19" i="12" s="1"/>
  <c r="J19" i="12" s="1"/>
  <c r="K19" i="12" s="1"/>
  <c r="L19" i="12" s="1"/>
  <c r="B7" i="1"/>
  <c r="E64" i="16" l="1"/>
  <c r="C71" i="16"/>
  <c r="D71" i="16"/>
  <c r="E74" i="16"/>
  <c r="E83" i="1"/>
  <c r="D2" i="14" s="1"/>
  <c r="D17" i="14" s="1"/>
  <c r="D19" i="14" s="1"/>
  <c r="D23" i="14" s="1"/>
  <c r="D25" i="14" s="1"/>
  <c r="D27" i="14" s="1"/>
  <c r="C65" i="1"/>
  <c r="E7" i="19"/>
  <c r="E8" i="19" s="1"/>
  <c r="D15" i="1"/>
  <c r="D45" i="1"/>
  <c r="D65" i="1"/>
  <c r="D64" i="1"/>
  <c r="D70" i="1"/>
  <c r="D20" i="1"/>
  <c r="D34" i="1"/>
  <c r="D32" i="1"/>
  <c r="D31" i="1"/>
  <c r="D30" i="1"/>
  <c r="D22" i="1"/>
  <c r="D19" i="1"/>
  <c r="D35" i="1"/>
  <c r="D33" i="1"/>
  <c r="D29" i="1"/>
  <c r="D27" i="1"/>
  <c r="D12" i="1"/>
  <c r="D28" i="1"/>
  <c r="D82" i="1"/>
  <c r="D47" i="1"/>
  <c r="D51" i="1"/>
  <c r="D40" i="1"/>
  <c r="D42" i="1"/>
  <c r="D44" i="1"/>
  <c r="D79" i="1"/>
  <c r="D50" i="1"/>
  <c r="D48" i="1"/>
  <c r="D80" i="1"/>
  <c r="D41" i="1"/>
  <c r="D53" i="1"/>
  <c r="D52" i="1"/>
  <c r="D49" i="1"/>
  <c r="D71" i="1"/>
  <c r="D39" i="1"/>
  <c r="D43" i="1"/>
  <c r="D46" i="1"/>
  <c r="D77" i="1"/>
  <c r="D78" i="1"/>
  <c r="C64" i="16" l="1"/>
  <c r="D64" i="16"/>
  <c r="E67" i="16"/>
  <c r="E75" i="16"/>
  <c r="D74" i="16"/>
  <c r="C74" i="16"/>
  <c r="D83" i="1"/>
  <c r="C83" i="1"/>
  <c r="C11" i="12"/>
  <c r="C12" i="12" s="1"/>
  <c r="D9" i="12"/>
  <c r="C75" i="16" l="1"/>
  <c r="D75" i="16"/>
  <c r="C67" i="16"/>
  <c r="D67" i="16"/>
  <c r="D11" i="12"/>
  <c r="C20" i="12"/>
  <c r="C25" i="12" s="1"/>
  <c r="E60" i="1" s="1"/>
  <c r="C13" i="19" s="1"/>
  <c r="D13" i="19" s="1"/>
  <c r="D12" i="12" l="1"/>
  <c r="D20" i="12" s="1"/>
  <c r="D25" i="12" s="1"/>
  <c r="B25" i="12"/>
  <c r="C54" i="1"/>
  <c r="D54" i="1"/>
  <c r="Q24" i="12" l="1"/>
  <c r="P24" i="12"/>
  <c r="O24" i="12"/>
  <c r="N24" i="12"/>
  <c r="M24" i="12"/>
  <c r="M23" i="12"/>
  <c r="N23" i="12" s="1"/>
  <c r="O23" i="12" s="1"/>
  <c r="P23" i="12" s="1"/>
  <c r="Q23" i="12" s="1"/>
  <c r="M22" i="12"/>
  <c r="N22" i="12" s="1"/>
  <c r="O22" i="12" s="1"/>
  <c r="P22" i="12" s="1"/>
  <c r="Q22" i="12" s="1"/>
  <c r="M21" i="12"/>
  <c r="N21" i="12" s="1"/>
  <c r="O21" i="12" s="1"/>
  <c r="P21" i="12" s="1"/>
  <c r="Q21" i="12" s="1"/>
  <c r="R20" i="12"/>
  <c r="M19" i="12"/>
  <c r="N19" i="12" s="1"/>
  <c r="O19" i="12" s="1"/>
  <c r="P19" i="12" s="1"/>
  <c r="Q19" i="12" s="1"/>
  <c r="M18" i="12"/>
  <c r="N18" i="12" s="1"/>
  <c r="O18" i="12" s="1"/>
  <c r="P18" i="12" s="1"/>
  <c r="Q18" i="12" s="1"/>
  <c r="M17" i="12"/>
  <c r="N17" i="12" s="1"/>
  <c r="O17" i="12" s="1"/>
  <c r="P17" i="12" s="1"/>
  <c r="Q17" i="12" s="1"/>
  <c r="M16" i="12" l="1"/>
  <c r="N16" i="12" l="1"/>
  <c r="O16" i="12" l="1"/>
  <c r="P16" i="12" l="1"/>
  <c r="Q16" i="12" l="1"/>
  <c r="D49" i="11" l="1"/>
  <c r="D48" i="11"/>
  <c r="C42" i="11"/>
  <c r="Q31" i="11"/>
  <c r="P31" i="11"/>
  <c r="O31" i="11"/>
  <c r="N31" i="11"/>
  <c r="M31" i="11"/>
  <c r="L31" i="11"/>
  <c r="K31" i="11"/>
  <c r="J31" i="11"/>
  <c r="I31" i="11"/>
  <c r="H31" i="11"/>
  <c r="G31" i="11"/>
  <c r="F31" i="11"/>
  <c r="E31" i="11"/>
  <c r="D31" i="11"/>
  <c r="C31" i="11"/>
  <c r="C30" i="11"/>
  <c r="D30" i="11" s="1"/>
  <c r="E30" i="11" s="1"/>
  <c r="F30" i="11" s="1"/>
  <c r="G30" i="11" s="1"/>
  <c r="H30" i="11" s="1"/>
  <c r="I30" i="11" s="1"/>
  <c r="J30" i="11" s="1"/>
  <c r="K30" i="11" s="1"/>
  <c r="L30" i="11" s="1"/>
  <c r="M30" i="11" s="1"/>
  <c r="N30" i="11" s="1"/>
  <c r="O30" i="11" s="1"/>
  <c r="P30" i="11" s="1"/>
  <c r="Q30" i="11" s="1"/>
  <c r="D29" i="11"/>
  <c r="E29" i="11" s="1"/>
  <c r="F29" i="11" s="1"/>
  <c r="G29" i="11" s="1"/>
  <c r="H29" i="11" s="1"/>
  <c r="I29" i="11" s="1"/>
  <c r="J29" i="11" s="1"/>
  <c r="K29" i="11" s="1"/>
  <c r="L29" i="11" s="1"/>
  <c r="M29" i="11" s="1"/>
  <c r="N29" i="11" s="1"/>
  <c r="O29" i="11" s="1"/>
  <c r="P29" i="11" s="1"/>
  <c r="Q29" i="11" s="1"/>
  <c r="D28" i="11"/>
  <c r="E28" i="11" s="1"/>
  <c r="F28" i="11" s="1"/>
  <c r="G28" i="11" s="1"/>
  <c r="H28" i="11" s="1"/>
  <c r="I28" i="11" s="1"/>
  <c r="J28" i="11" s="1"/>
  <c r="K28" i="11" s="1"/>
  <c r="L28" i="11" s="1"/>
  <c r="M28" i="11" s="1"/>
  <c r="N28" i="11" s="1"/>
  <c r="O28" i="11" s="1"/>
  <c r="P28" i="11" s="1"/>
  <c r="Q28" i="11" s="1"/>
  <c r="R27" i="11"/>
  <c r="D26" i="11"/>
  <c r="E26" i="11" s="1"/>
  <c r="F26" i="11" s="1"/>
  <c r="G26" i="11" s="1"/>
  <c r="H26" i="11" s="1"/>
  <c r="I26" i="11" s="1"/>
  <c r="J26" i="11" s="1"/>
  <c r="K26" i="11" s="1"/>
  <c r="L26" i="11" s="1"/>
  <c r="M26" i="11" s="1"/>
  <c r="N26" i="11" s="1"/>
  <c r="O26" i="11" s="1"/>
  <c r="P26" i="11" s="1"/>
  <c r="Q26" i="11" s="1"/>
  <c r="D25" i="11"/>
  <c r="E25" i="11" s="1"/>
  <c r="F25" i="11" s="1"/>
  <c r="G25" i="11" s="1"/>
  <c r="H25" i="11" s="1"/>
  <c r="I25" i="11" s="1"/>
  <c r="J25" i="11" s="1"/>
  <c r="K25" i="11" s="1"/>
  <c r="L25" i="11" s="1"/>
  <c r="M25" i="11" s="1"/>
  <c r="N25" i="11" s="1"/>
  <c r="O25" i="11" s="1"/>
  <c r="P25" i="11" s="1"/>
  <c r="Q25" i="11" s="1"/>
  <c r="D24" i="11"/>
  <c r="E24" i="11" s="1"/>
  <c r="F24" i="11" s="1"/>
  <c r="G24" i="11" s="1"/>
  <c r="H24" i="11" s="1"/>
  <c r="I24" i="11" s="1"/>
  <c r="J24" i="11" s="1"/>
  <c r="K24" i="11" s="1"/>
  <c r="L24" i="11" s="1"/>
  <c r="M24" i="11" s="1"/>
  <c r="N24" i="11" s="1"/>
  <c r="O24" i="11" s="1"/>
  <c r="P24" i="11" s="1"/>
  <c r="Q24" i="11" s="1"/>
  <c r="D23" i="11"/>
  <c r="R18" i="11"/>
  <c r="D13" i="11"/>
  <c r="D14" i="11" s="1"/>
  <c r="D15" i="11" l="1"/>
  <c r="E23" i="11"/>
  <c r="E13" i="11"/>
  <c r="E14" i="11" l="1"/>
  <c r="E15" i="11" s="1"/>
  <c r="F13" i="11"/>
  <c r="F23" i="11"/>
  <c r="G23" i="11" l="1"/>
  <c r="F14" i="11"/>
  <c r="F15" i="11" s="1"/>
  <c r="G13" i="11"/>
  <c r="G14" i="11" l="1"/>
  <c r="G15" i="11" s="1"/>
  <c r="H13" i="11"/>
  <c r="H23" i="11"/>
  <c r="H14" i="11" l="1"/>
  <c r="I13" i="11"/>
  <c r="H15" i="11"/>
  <c r="I23" i="11"/>
  <c r="J23" i="11" l="1"/>
  <c r="I14" i="11"/>
  <c r="I15" i="11" s="1"/>
  <c r="J13" i="11"/>
  <c r="J14" i="11" l="1"/>
  <c r="J15" i="11" s="1"/>
  <c r="K13" i="11"/>
  <c r="K23" i="11"/>
  <c r="L23" i="11" l="1"/>
  <c r="K14" i="11"/>
  <c r="K15" i="11" s="1"/>
  <c r="L13" i="11"/>
  <c r="L14" i="11" l="1"/>
  <c r="M13" i="11"/>
  <c r="L15" i="11"/>
  <c r="M23" i="11"/>
  <c r="M14" i="11" l="1"/>
  <c r="M15" i="11" s="1"/>
  <c r="N13" i="11"/>
  <c r="N23" i="11"/>
  <c r="O23" i="11" l="1"/>
  <c r="N14" i="11"/>
  <c r="O13" i="11"/>
  <c r="N15" i="11"/>
  <c r="O14" i="11" l="1"/>
  <c r="O15" i="11" s="1"/>
  <c r="P13" i="11"/>
  <c r="P23" i="11"/>
  <c r="Q23" i="11" l="1"/>
  <c r="P14" i="11"/>
  <c r="Q13" i="11"/>
  <c r="P15" i="11"/>
  <c r="Q14" i="11" l="1"/>
  <c r="Q15" i="11" s="1"/>
  <c r="J73" i="1" l="1"/>
  <c r="J54" i="1"/>
  <c r="J36" i="1"/>
  <c r="J21" i="1"/>
  <c r="J24" i="1" s="1"/>
  <c r="D43" i="10"/>
  <c r="D42" i="10"/>
  <c r="C31" i="10"/>
  <c r="D31" i="10" s="1"/>
  <c r="E31" i="10" s="1"/>
  <c r="F31" i="10" s="1"/>
  <c r="G31" i="10" s="1"/>
  <c r="H31" i="10" s="1"/>
  <c r="I31" i="10" s="1"/>
  <c r="J31" i="10" s="1"/>
  <c r="K31" i="10" s="1"/>
  <c r="L31" i="10" s="1"/>
  <c r="M31" i="10" s="1"/>
  <c r="N31" i="10" s="1"/>
  <c r="O31" i="10" s="1"/>
  <c r="P31" i="10" s="1"/>
  <c r="Q31" i="10" s="1"/>
  <c r="C30" i="10"/>
  <c r="D30" i="10" s="1"/>
  <c r="E30" i="10" s="1"/>
  <c r="F30" i="10" s="1"/>
  <c r="G30" i="10" s="1"/>
  <c r="H30" i="10" s="1"/>
  <c r="I30" i="10" s="1"/>
  <c r="J30" i="10" s="1"/>
  <c r="K30" i="10" s="1"/>
  <c r="L30" i="10" s="1"/>
  <c r="M30" i="10" s="1"/>
  <c r="N30" i="10" s="1"/>
  <c r="O30" i="10" s="1"/>
  <c r="P30" i="10" s="1"/>
  <c r="Q30" i="10" s="1"/>
  <c r="D29" i="10"/>
  <c r="E29" i="10" s="1"/>
  <c r="F29" i="10" s="1"/>
  <c r="G29" i="10" s="1"/>
  <c r="H29" i="10" s="1"/>
  <c r="I29" i="10" s="1"/>
  <c r="J29" i="10" s="1"/>
  <c r="K29" i="10" s="1"/>
  <c r="L29" i="10" s="1"/>
  <c r="M29" i="10" s="1"/>
  <c r="N29" i="10" s="1"/>
  <c r="O29" i="10" s="1"/>
  <c r="P29" i="10" s="1"/>
  <c r="Q29" i="10" s="1"/>
  <c r="D28" i="10"/>
  <c r="E28" i="10" s="1"/>
  <c r="F28" i="10" s="1"/>
  <c r="G28" i="10" s="1"/>
  <c r="H28" i="10" s="1"/>
  <c r="I28" i="10" s="1"/>
  <c r="J28" i="10" s="1"/>
  <c r="K28" i="10" s="1"/>
  <c r="L28" i="10" s="1"/>
  <c r="M28" i="10" s="1"/>
  <c r="N28" i="10" s="1"/>
  <c r="O28" i="10" s="1"/>
  <c r="P28" i="10" s="1"/>
  <c r="Q28" i="10" s="1"/>
  <c r="E26" i="10"/>
  <c r="F26" i="10" s="1"/>
  <c r="G26" i="10" s="1"/>
  <c r="H26" i="10" s="1"/>
  <c r="I26" i="10" s="1"/>
  <c r="J26" i="10" s="1"/>
  <c r="K26" i="10" s="1"/>
  <c r="L26" i="10" s="1"/>
  <c r="M26" i="10" s="1"/>
  <c r="N26" i="10" s="1"/>
  <c r="O26" i="10" s="1"/>
  <c r="P26" i="10" s="1"/>
  <c r="Q26" i="10" s="1"/>
  <c r="D26" i="10"/>
  <c r="D25" i="10"/>
  <c r="E25" i="10" s="1"/>
  <c r="F25" i="10" s="1"/>
  <c r="G25" i="10" s="1"/>
  <c r="H25" i="10" s="1"/>
  <c r="I25" i="10" s="1"/>
  <c r="J25" i="10" s="1"/>
  <c r="K25" i="10" s="1"/>
  <c r="L25" i="10" s="1"/>
  <c r="M25" i="10" s="1"/>
  <c r="N25" i="10" s="1"/>
  <c r="O25" i="10" s="1"/>
  <c r="P25" i="10" s="1"/>
  <c r="Q25" i="10" s="1"/>
  <c r="E24" i="10"/>
  <c r="F24" i="10" s="1"/>
  <c r="G24" i="10" s="1"/>
  <c r="H24" i="10" s="1"/>
  <c r="I24" i="10" s="1"/>
  <c r="J24" i="10" s="1"/>
  <c r="K24" i="10" s="1"/>
  <c r="L24" i="10" s="1"/>
  <c r="M24" i="10" s="1"/>
  <c r="N24" i="10" s="1"/>
  <c r="O24" i="10" s="1"/>
  <c r="P24" i="10" s="1"/>
  <c r="Q24" i="10" s="1"/>
  <c r="D24" i="10"/>
  <c r="D23" i="10"/>
  <c r="E23" i="10" s="1"/>
  <c r="F23" i="10" s="1"/>
  <c r="D17" i="10"/>
  <c r="E6" i="10"/>
  <c r="C13" i="11"/>
  <c r="C14" i="11" s="1"/>
  <c r="C15" i="11" s="1"/>
  <c r="C10" i="11"/>
  <c r="D10" i="11" s="1"/>
  <c r="C13" i="10" l="1"/>
  <c r="C14" i="10" s="1"/>
  <c r="J56" i="1"/>
  <c r="J61" i="1" s="1"/>
  <c r="C11" i="11"/>
  <c r="C3" i="11" s="1"/>
  <c r="C27" i="11" s="1"/>
  <c r="C32" i="11" s="1"/>
  <c r="E9" i="12"/>
  <c r="E10" i="11"/>
  <c r="D11" i="11"/>
  <c r="D12" i="11" s="1"/>
  <c r="D16" i="11" s="1"/>
  <c r="D19" i="11" s="1"/>
  <c r="D27" i="11" s="1"/>
  <c r="D32" i="11" s="1"/>
  <c r="D34" i="11" s="1"/>
  <c r="K36" i="1"/>
  <c r="K54" i="1"/>
  <c r="G23" i="10"/>
  <c r="E17" i="10"/>
  <c r="F9" i="12" l="1"/>
  <c r="E11" i="12"/>
  <c r="C15" i="10"/>
  <c r="D13" i="10"/>
  <c r="D14" i="10" s="1"/>
  <c r="D15" i="10" s="1"/>
  <c r="C12" i="11"/>
  <c r="C16" i="11" s="1"/>
  <c r="C19" i="11" s="1"/>
  <c r="C34" i="11" s="1"/>
  <c r="K73" i="1"/>
  <c r="D3" i="11"/>
  <c r="F10" i="11"/>
  <c r="E11" i="11"/>
  <c r="E12" i="11" s="1"/>
  <c r="E16" i="11" s="1"/>
  <c r="E19" i="11" s="1"/>
  <c r="E27" i="11" s="1"/>
  <c r="E32" i="11" s="1"/>
  <c r="E34" i="11" s="1"/>
  <c r="K56" i="1"/>
  <c r="K61" i="1" s="1"/>
  <c r="F17" i="10"/>
  <c r="E13" i="10"/>
  <c r="H23" i="10"/>
  <c r="E12" i="12" l="1"/>
  <c r="E20" i="12" s="1"/>
  <c r="E25" i="12" s="1"/>
  <c r="G9" i="12"/>
  <c r="F11" i="12"/>
  <c r="F12" i="12" s="1"/>
  <c r="C27" i="12"/>
  <c r="C28" i="12" s="1"/>
  <c r="D38" i="12" s="1"/>
  <c r="E72" i="1" s="1"/>
  <c r="C35" i="11"/>
  <c r="D51" i="10"/>
  <c r="F11" i="11"/>
  <c r="F12" i="11" s="1"/>
  <c r="F16" i="11" s="1"/>
  <c r="F19" i="11" s="1"/>
  <c r="F27" i="11" s="1"/>
  <c r="F32" i="11" s="1"/>
  <c r="F34" i="11" s="1"/>
  <c r="G10" i="11"/>
  <c r="E3" i="11"/>
  <c r="I23" i="10"/>
  <c r="E14" i="10"/>
  <c r="E15" i="10" s="1"/>
  <c r="F13" i="10"/>
  <c r="G17" i="10"/>
  <c r="F20" i="12" l="1"/>
  <c r="F25" i="12" s="1"/>
  <c r="E73" i="1"/>
  <c r="E66" i="1"/>
  <c r="C72" i="1"/>
  <c r="D72" i="1"/>
  <c r="D28" i="12"/>
  <c r="H9" i="12"/>
  <c r="G11" i="12"/>
  <c r="C60" i="1"/>
  <c r="D60" i="1"/>
  <c r="F3" i="11"/>
  <c r="D27" i="12"/>
  <c r="E27" i="12"/>
  <c r="C50" i="11"/>
  <c r="D50" i="11" s="1"/>
  <c r="D52" i="11" s="1"/>
  <c r="D35" i="11"/>
  <c r="C37" i="11"/>
  <c r="C30" i="12"/>
  <c r="C36" i="12"/>
  <c r="D36" i="12" s="1"/>
  <c r="H10" i="11"/>
  <c r="G11" i="11"/>
  <c r="G12" i="11" s="1"/>
  <c r="G16" i="11" s="1"/>
  <c r="G19" i="11" s="1"/>
  <c r="G27" i="11" s="1"/>
  <c r="G32" i="11" s="1"/>
  <c r="G34" i="11" s="1"/>
  <c r="F14" i="10"/>
  <c r="F15" i="10" s="1"/>
  <c r="G13" i="10"/>
  <c r="H17" i="10"/>
  <c r="J23" i="10"/>
  <c r="T66" i="1" l="1"/>
  <c r="E67" i="1"/>
  <c r="C2" i="19"/>
  <c r="D2" i="19" s="1"/>
  <c r="G12" i="12"/>
  <c r="G20" i="12" s="1"/>
  <c r="G25" i="12" s="1"/>
  <c r="C66" i="1"/>
  <c r="C67" i="1" s="1"/>
  <c r="D66" i="1"/>
  <c r="D67" i="1" s="1"/>
  <c r="E84" i="1"/>
  <c r="C73" i="1"/>
  <c r="D73" i="1"/>
  <c r="H11" i="12"/>
  <c r="I9" i="12"/>
  <c r="F27" i="12"/>
  <c r="C44" i="11"/>
  <c r="C45" i="11" s="1"/>
  <c r="D42" i="11" s="1"/>
  <c r="C38" i="11"/>
  <c r="B38" i="11" s="1"/>
  <c r="E35" i="11"/>
  <c r="D36" i="11"/>
  <c r="D37" i="11"/>
  <c r="D44" i="11" s="1"/>
  <c r="G3" i="11"/>
  <c r="H11" i="11"/>
  <c r="H12" i="11" s="1"/>
  <c r="H16" i="11" s="1"/>
  <c r="H19" i="11" s="1"/>
  <c r="H27" i="11" s="1"/>
  <c r="H32" i="11" s="1"/>
  <c r="H34" i="11" s="1"/>
  <c r="I10" i="11"/>
  <c r="K23" i="10"/>
  <c r="I17" i="10"/>
  <c r="G14" i="10"/>
  <c r="G15" i="10" s="1"/>
  <c r="H13" i="10"/>
  <c r="F2" i="19" l="1"/>
  <c r="J2" i="19"/>
  <c r="H12" i="12"/>
  <c r="H20" i="12" s="1"/>
  <c r="H25" i="12" s="1"/>
  <c r="J9" i="12"/>
  <c r="I11" i="12"/>
  <c r="C39" i="11"/>
  <c r="G27" i="12"/>
  <c r="F35" i="11"/>
  <c r="E37" i="11"/>
  <c r="E38" i="11" s="1"/>
  <c r="E36" i="11"/>
  <c r="D38" i="11"/>
  <c r="D39" i="11" s="1"/>
  <c r="D45" i="11"/>
  <c r="E42" i="11" s="1"/>
  <c r="H3" i="11"/>
  <c r="J10" i="11"/>
  <c r="I11" i="11"/>
  <c r="I12" i="11" s="1"/>
  <c r="I16" i="11" s="1"/>
  <c r="I19" i="11" s="1"/>
  <c r="I27" i="11" s="1"/>
  <c r="I32" i="11" s="1"/>
  <c r="I34" i="11" s="1"/>
  <c r="H14" i="10"/>
  <c r="H15" i="10" s="1"/>
  <c r="I13" i="10"/>
  <c r="J17" i="10"/>
  <c r="L23" i="10"/>
  <c r="I12" i="12" l="1"/>
  <c r="I20" i="12" s="1"/>
  <c r="I25" i="12" s="1"/>
  <c r="K9" i="12"/>
  <c r="J11" i="12"/>
  <c r="J12" i="12" s="1"/>
  <c r="H27" i="12"/>
  <c r="G35" i="11"/>
  <c r="F36" i="11"/>
  <c r="F37" i="11"/>
  <c r="E44" i="11"/>
  <c r="E45" i="11" s="1"/>
  <c r="F42" i="11" s="1"/>
  <c r="E39" i="11"/>
  <c r="I3" i="11"/>
  <c r="K10" i="11"/>
  <c r="J11" i="11"/>
  <c r="J12" i="11" s="1"/>
  <c r="J16" i="11" s="1"/>
  <c r="J19" i="11" s="1"/>
  <c r="J27" i="11" s="1"/>
  <c r="J32" i="11" s="1"/>
  <c r="J34" i="11" s="1"/>
  <c r="K17" i="10"/>
  <c r="I14" i="10"/>
  <c r="I15" i="10" s="1"/>
  <c r="J13" i="10"/>
  <c r="M23" i="10"/>
  <c r="E6" i="3"/>
  <c r="J20" i="12" l="1"/>
  <c r="J25" i="12" s="1"/>
  <c r="L9" i="12"/>
  <c r="K11" i="12"/>
  <c r="K12" i="12" s="1"/>
  <c r="I27" i="12"/>
  <c r="F44" i="11"/>
  <c r="F45" i="11" s="1"/>
  <c r="G42" i="11" s="1"/>
  <c r="F38" i="11"/>
  <c r="F39" i="11" s="1"/>
  <c r="H35" i="11"/>
  <c r="G37" i="11"/>
  <c r="G36" i="11"/>
  <c r="J3" i="11"/>
  <c r="K11" i="11"/>
  <c r="K12" i="11" s="1"/>
  <c r="K16" i="11" s="1"/>
  <c r="K19" i="11" s="1"/>
  <c r="K27" i="11" s="1"/>
  <c r="K32" i="11" s="1"/>
  <c r="K34" i="11" s="1"/>
  <c r="L10" i="11"/>
  <c r="J14" i="10"/>
  <c r="J15" i="10" s="1"/>
  <c r="K13" i="10"/>
  <c r="L17" i="10"/>
  <c r="N23" i="10"/>
  <c r="H2" i="3"/>
  <c r="H3" i="3" s="1"/>
  <c r="K20" i="12" l="1"/>
  <c r="K25" i="12" s="1"/>
  <c r="L11" i="12"/>
  <c r="J27" i="12"/>
  <c r="G44" i="11"/>
  <c r="G45" i="11" s="1"/>
  <c r="H42" i="11" s="1"/>
  <c r="G38" i="11"/>
  <c r="G39" i="11" s="1"/>
  <c r="I35" i="11"/>
  <c r="H36" i="11"/>
  <c r="H37" i="11"/>
  <c r="M9" i="12"/>
  <c r="K3" i="11"/>
  <c r="L11" i="11"/>
  <c r="L3" i="11" s="1"/>
  <c r="M10" i="11"/>
  <c r="M17" i="10"/>
  <c r="K14" i="10"/>
  <c r="K15" i="10" s="1"/>
  <c r="L13" i="10"/>
  <c r="O23" i="10"/>
  <c r="L12" i="12" l="1"/>
  <c r="L20" i="12" s="1"/>
  <c r="L25" i="12" s="1"/>
  <c r="K27" i="12"/>
  <c r="J35" i="11"/>
  <c r="I37" i="11"/>
  <c r="I36" i="11"/>
  <c r="H38" i="11"/>
  <c r="H39" i="11" s="1"/>
  <c r="H44" i="11"/>
  <c r="H45" i="11" s="1"/>
  <c r="I42" i="11" s="1"/>
  <c r="M11" i="12"/>
  <c r="M2" i="12" s="1"/>
  <c r="N9" i="12"/>
  <c r="L12" i="11"/>
  <c r="L16" i="11" s="1"/>
  <c r="L19" i="11" s="1"/>
  <c r="L27" i="11" s="1"/>
  <c r="L32" i="11" s="1"/>
  <c r="L34" i="11" s="1"/>
  <c r="M11" i="11"/>
  <c r="M12" i="11" s="1"/>
  <c r="M16" i="11" s="1"/>
  <c r="M19" i="11" s="1"/>
  <c r="M27" i="11" s="1"/>
  <c r="M32" i="11" s="1"/>
  <c r="M34" i="11" s="1"/>
  <c r="N10" i="11"/>
  <c r="P23" i="10"/>
  <c r="L14" i="10"/>
  <c r="L15" i="10" s="1"/>
  <c r="M13" i="10"/>
  <c r="N17" i="10"/>
  <c r="L27" i="12" l="1"/>
  <c r="K35" i="11"/>
  <c r="J37" i="11"/>
  <c r="J36" i="11"/>
  <c r="I38" i="11"/>
  <c r="I39" i="11" s="1"/>
  <c r="I44" i="11"/>
  <c r="I45" i="11" s="1"/>
  <c r="J42" i="11" s="1"/>
  <c r="M12" i="12"/>
  <c r="M20" i="12" s="1"/>
  <c r="M25" i="12" s="1"/>
  <c r="M27" i="12" s="1"/>
  <c r="O9" i="12"/>
  <c r="N11" i="12"/>
  <c r="N12" i="12" s="1"/>
  <c r="N20" i="12" s="1"/>
  <c r="N25" i="12" s="1"/>
  <c r="N27" i="12" s="1"/>
  <c r="M3" i="11"/>
  <c r="N11" i="11"/>
  <c r="N3" i="11" s="1"/>
  <c r="O10" i="11"/>
  <c r="Q23" i="10"/>
  <c r="O17" i="10"/>
  <c r="M14" i="10"/>
  <c r="M15" i="10" s="1"/>
  <c r="N13" i="10"/>
  <c r="J38" i="11" l="1"/>
  <c r="J39" i="11" s="1"/>
  <c r="J44" i="11"/>
  <c r="J45" i="11" s="1"/>
  <c r="K42" i="11" s="1"/>
  <c r="N12" i="11"/>
  <c r="N16" i="11" s="1"/>
  <c r="N19" i="11" s="1"/>
  <c r="N27" i="11" s="1"/>
  <c r="N32" i="11" s="1"/>
  <c r="N34" i="11" s="1"/>
  <c r="N2" i="12"/>
  <c r="L35" i="11"/>
  <c r="K36" i="11"/>
  <c r="K37" i="11"/>
  <c r="O11" i="12"/>
  <c r="O12" i="12" s="1"/>
  <c r="O20" i="12" s="1"/>
  <c r="O25" i="12" s="1"/>
  <c r="O27" i="12" s="1"/>
  <c r="P9" i="12"/>
  <c r="C10" i="3"/>
  <c r="C11" i="3" s="1"/>
  <c r="C12" i="3" s="1"/>
  <c r="C10" i="10"/>
  <c r="P10" i="11"/>
  <c r="O11" i="11"/>
  <c r="O12" i="11" s="1"/>
  <c r="O16" i="11" s="1"/>
  <c r="O19" i="11" s="1"/>
  <c r="O27" i="11" s="1"/>
  <c r="O32" i="11" s="1"/>
  <c r="O34" i="11" s="1"/>
  <c r="N14" i="10"/>
  <c r="N15" i="10" s="1"/>
  <c r="O13" i="10"/>
  <c r="P17" i="10"/>
  <c r="K38" i="11" l="1"/>
  <c r="K39" i="11" s="1"/>
  <c r="K44" i="11"/>
  <c r="K45" i="11" s="1"/>
  <c r="L42" i="11" s="1"/>
  <c r="M35" i="11"/>
  <c r="L36" i="11"/>
  <c r="L37" i="11"/>
  <c r="O2" i="12"/>
  <c r="P11" i="12"/>
  <c r="P12" i="12" s="1"/>
  <c r="P20" i="12" s="1"/>
  <c r="P25" i="12" s="1"/>
  <c r="P27" i="12" s="1"/>
  <c r="Q9" i="12"/>
  <c r="D10" i="10"/>
  <c r="C11" i="10"/>
  <c r="C12" i="10" s="1"/>
  <c r="C16" i="10" s="1"/>
  <c r="Q10" i="11"/>
  <c r="P11" i="11"/>
  <c r="P12" i="11" s="1"/>
  <c r="P16" i="11" s="1"/>
  <c r="P19" i="11" s="1"/>
  <c r="P27" i="11" s="1"/>
  <c r="P32" i="11" s="1"/>
  <c r="P34" i="11" s="1"/>
  <c r="O3" i="11"/>
  <c r="Q17" i="10"/>
  <c r="O14" i="10"/>
  <c r="O15" i="10" s="1"/>
  <c r="P13" i="10"/>
  <c r="L44" i="11" l="1"/>
  <c r="L45" i="11" s="1"/>
  <c r="M42" i="11" s="1"/>
  <c r="L38" i="11"/>
  <c r="L39" i="11" s="1"/>
  <c r="N35" i="11"/>
  <c r="M37" i="11"/>
  <c r="M36" i="11"/>
  <c r="Q11" i="12"/>
  <c r="Q2" i="12" s="1"/>
  <c r="P2" i="12"/>
  <c r="D11" i="10"/>
  <c r="D12" i="10" s="1"/>
  <c r="D16" i="10" s="1"/>
  <c r="E10" i="10"/>
  <c r="C19" i="10"/>
  <c r="C27" i="10" s="1"/>
  <c r="C20" i="10"/>
  <c r="Q11" i="11"/>
  <c r="Q12" i="11" s="1"/>
  <c r="Q16" i="11" s="1"/>
  <c r="Q19" i="11" s="1"/>
  <c r="Q27" i="11" s="1"/>
  <c r="Q32" i="11" s="1"/>
  <c r="Q34" i="11" s="1"/>
  <c r="P3" i="11"/>
  <c r="P14" i="10"/>
  <c r="P15" i="10" s="1"/>
  <c r="Q13" i="10"/>
  <c r="C32" i="10" l="1"/>
  <c r="C34" i="10" s="1"/>
  <c r="O35" i="11"/>
  <c r="N37" i="11"/>
  <c r="N36" i="11"/>
  <c r="M38" i="11"/>
  <c r="M39" i="11" s="1"/>
  <c r="M44" i="11"/>
  <c r="M45" i="11" s="1"/>
  <c r="N42" i="11" s="1"/>
  <c r="Q12" i="12"/>
  <c r="Q20" i="12" s="1"/>
  <c r="Q25" i="12" s="1"/>
  <c r="Q27" i="12" s="1"/>
  <c r="D20" i="10"/>
  <c r="D19" i="10"/>
  <c r="E11" i="10"/>
  <c r="E12" i="10" s="1"/>
  <c r="E16" i="10" s="1"/>
  <c r="F10" i="10"/>
  <c r="Q3" i="11"/>
  <c r="Q14" i="10"/>
  <c r="Q15" i="10" s="1"/>
  <c r="D28" i="3"/>
  <c r="E28" i="3" s="1"/>
  <c r="F28" i="3" s="1"/>
  <c r="G28" i="3" s="1"/>
  <c r="H28" i="3" s="1"/>
  <c r="I28" i="3" s="1"/>
  <c r="J28" i="3" s="1"/>
  <c r="K28" i="3" s="1"/>
  <c r="D17" i="3"/>
  <c r="E17" i="3" s="1"/>
  <c r="F17" i="3" s="1"/>
  <c r="G17" i="3" s="1"/>
  <c r="H17" i="3" s="1"/>
  <c r="I17" i="3" s="1"/>
  <c r="J17" i="3" s="1"/>
  <c r="K17" i="3" s="1"/>
  <c r="L17" i="3" s="1"/>
  <c r="M17" i="3" s="1"/>
  <c r="N17" i="3" s="1"/>
  <c r="O17" i="3" s="1"/>
  <c r="P17" i="3" s="1"/>
  <c r="Q17" i="3" s="1"/>
  <c r="P35" i="11" l="1"/>
  <c r="O37" i="11"/>
  <c r="O36" i="11"/>
  <c r="N38" i="11"/>
  <c r="N39" i="11" s="1"/>
  <c r="N44" i="11"/>
  <c r="N45" i="11" s="1"/>
  <c r="O42" i="11" s="1"/>
  <c r="E20" i="10"/>
  <c r="E19" i="10"/>
  <c r="F11" i="10"/>
  <c r="F12" i="10" s="1"/>
  <c r="F16" i="10" s="1"/>
  <c r="G10" i="10"/>
  <c r="D27" i="10"/>
  <c r="D32" i="10" s="1"/>
  <c r="D34" i="10" s="1"/>
  <c r="D51" i="3"/>
  <c r="L28" i="3"/>
  <c r="M28" i="3" s="1"/>
  <c r="N28" i="3" s="1"/>
  <c r="O28" i="3" s="1"/>
  <c r="P28" i="3" s="1"/>
  <c r="Q28" i="3" s="1"/>
  <c r="D29" i="3"/>
  <c r="E29" i="3" s="1"/>
  <c r="F29" i="3" s="1"/>
  <c r="G29" i="3" s="1"/>
  <c r="H29" i="3" s="1"/>
  <c r="I29" i="3" s="1"/>
  <c r="J29" i="3" s="1"/>
  <c r="K29" i="3" s="1"/>
  <c r="L29" i="3" s="1"/>
  <c r="M29" i="3" s="1"/>
  <c r="N29" i="3" s="1"/>
  <c r="O29" i="3" s="1"/>
  <c r="P29" i="3" s="1"/>
  <c r="Q29" i="3" s="1"/>
  <c r="Q35" i="11" l="1"/>
  <c r="P37" i="11"/>
  <c r="P36" i="11"/>
  <c r="O38" i="11"/>
  <c r="O39" i="11" s="1"/>
  <c r="O44" i="11"/>
  <c r="O45" i="11" s="1"/>
  <c r="P42" i="11" s="1"/>
  <c r="G11" i="10"/>
  <c r="G12" i="10" s="1"/>
  <c r="G16" i="10" s="1"/>
  <c r="H10" i="10"/>
  <c r="F20" i="10"/>
  <c r="F19" i="10"/>
  <c r="E27" i="10"/>
  <c r="E32" i="10" s="1"/>
  <c r="E34" i="10" s="1"/>
  <c r="Q37" i="11" l="1"/>
  <c r="Q36" i="11"/>
  <c r="P44" i="11"/>
  <c r="P45" i="11" s="1"/>
  <c r="Q42" i="11" s="1"/>
  <c r="P38" i="11"/>
  <c r="P39" i="11" s="1"/>
  <c r="G20" i="10"/>
  <c r="G19" i="10"/>
  <c r="F27" i="10"/>
  <c r="F32" i="10" s="1"/>
  <c r="F34" i="10" s="1"/>
  <c r="H11" i="10"/>
  <c r="H12" i="10" s="1"/>
  <c r="H16" i="10" s="1"/>
  <c r="I10" i="10"/>
  <c r="Q44" i="11" l="1"/>
  <c r="Q45" i="11" s="1"/>
  <c r="Q38" i="11"/>
  <c r="Q39" i="11" s="1"/>
  <c r="H20" i="10"/>
  <c r="H19" i="10"/>
  <c r="J10" i="10"/>
  <c r="I11" i="10"/>
  <c r="I12" i="10" s="1"/>
  <c r="I16" i="10" s="1"/>
  <c r="G27" i="10"/>
  <c r="G32" i="10" s="1"/>
  <c r="G34" i="10" s="1"/>
  <c r="C65" i="8"/>
  <c r="D65" i="8" s="1"/>
  <c r="B64" i="8"/>
  <c r="B66" i="8" s="1"/>
  <c r="C66" i="8" s="1"/>
  <c r="C63" i="8"/>
  <c r="D63" i="8" s="1"/>
  <c r="C62" i="8"/>
  <c r="D62" i="8" s="1"/>
  <c r="C61" i="8"/>
  <c r="D61" i="8" s="1"/>
  <c r="C60" i="8"/>
  <c r="D60" i="8" s="1"/>
  <c r="C59" i="8"/>
  <c r="D59" i="8" s="1"/>
  <c r="C58" i="8"/>
  <c r="D58" i="8" s="1"/>
  <c r="C57" i="8"/>
  <c r="D57" i="8" s="1"/>
  <c r="C56" i="8"/>
  <c r="D56" i="8" s="1"/>
  <c r="C55" i="8"/>
  <c r="D55" i="8" s="1"/>
  <c r="C54" i="8"/>
  <c r="D54" i="8" s="1"/>
  <c r="C53" i="8"/>
  <c r="D53" i="8" s="1"/>
  <c r="C52" i="8"/>
  <c r="D52" i="8" s="1"/>
  <c r="C51" i="8"/>
  <c r="D51" i="8" s="1"/>
  <c r="C50" i="8"/>
  <c r="D50" i="8" s="1"/>
  <c r="C49" i="8"/>
  <c r="D49" i="8" s="1"/>
  <c r="B46" i="8"/>
  <c r="C45" i="8"/>
  <c r="C44" i="8"/>
  <c r="C43" i="8"/>
  <c r="B39" i="8"/>
  <c r="C38" i="8"/>
  <c r="C37" i="8"/>
  <c r="C36" i="8"/>
  <c r="C35" i="8"/>
  <c r="C34" i="8"/>
  <c r="C33" i="8"/>
  <c r="C32" i="8"/>
  <c r="C31" i="8"/>
  <c r="C30" i="8"/>
  <c r="B27" i="8"/>
  <c r="C26" i="8"/>
  <c r="C25" i="8"/>
  <c r="D24" i="8" s="1"/>
  <c r="C24" i="8"/>
  <c r="C23" i="8"/>
  <c r="C22" i="8"/>
  <c r="C21" i="8"/>
  <c r="D20" i="8" s="1"/>
  <c r="C20" i="8"/>
  <c r="C19" i="8"/>
  <c r="C18" i="8"/>
  <c r="C17" i="8"/>
  <c r="D16" i="8" s="1"/>
  <c r="C16" i="8"/>
  <c r="C15" i="8"/>
  <c r="C14" i="8"/>
  <c r="B11" i="8"/>
  <c r="D10" i="8" s="1"/>
  <c r="C10" i="8"/>
  <c r="C9" i="8"/>
  <c r="C8" i="8"/>
  <c r="D43" i="3"/>
  <c r="D42" i="3"/>
  <c r="D14" i="8" l="1"/>
  <c r="D22" i="8"/>
  <c r="D32" i="8"/>
  <c r="D8" i="8"/>
  <c r="D18" i="8"/>
  <c r="D26" i="8"/>
  <c r="D36" i="8"/>
  <c r="D30" i="8"/>
  <c r="D34" i="8"/>
  <c r="D38" i="8"/>
  <c r="J11" i="10"/>
  <c r="J12" i="10" s="1"/>
  <c r="J16" i="10" s="1"/>
  <c r="K10" i="10"/>
  <c r="I20" i="10"/>
  <c r="I19" i="10"/>
  <c r="H27" i="10"/>
  <c r="H32" i="10" s="1"/>
  <c r="H34" i="10" s="1"/>
  <c r="D43" i="8"/>
  <c r="D45" i="8"/>
  <c r="C64" i="8"/>
  <c r="D64" i="8" s="1"/>
  <c r="D9" i="8"/>
  <c r="D15" i="8"/>
  <c r="D17" i="8"/>
  <c r="D19" i="8"/>
  <c r="D21" i="8"/>
  <c r="D23" i="8"/>
  <c r="D25" i="8"/>
  <c r="D31" i="8"/>
  <c r="D33" i="8"/>
  <c r="D35" i="8"/>
  <c r="D37" i="8"/>
  <c r="D44" i="8"/>
  <c r="C31" i="3"/>
  <c r="D31" i="3" s="1"/>
  <c r="E31" i="3" s="1"/>
  <c r="F31" i="3" s="1"/>
  <c r="G31" i="3" s="1"/>
  <c r="H31" i="3" s="1"/>
  <c r="I31" i="3" s="1"/>
  <c r="J31" i="3" s="1"/>
  <c r="K31" i="3" s="1"/>
  <c r="L31" i="3" s="1"/>
  <c r="M31" i="3" s="1"/>
  <c r="N31" i="3" s="1"/>
  <c r="O31" i="3" s="1"/>
  <c r="P31" i="3" s="1"/>
  <c r="Q31" i="3" s="1"/>
  <c r="C30" i="3"/>
  <c r="D30" i="3" s="1"/>
  <c r="E30" i="3" s="1"/>
  <c r="F30" i="3" s="1"/>
  <c r="G30" i="3" s="1"/>
  <c r="H30" i="3" s="1"/>
  <c r="I30" i="3" s="1"/>
  <c r="J30" i="3" s="1"/>
  <c r="K30" i="3" s="1"/>
  <c r="L30" i="3" s="1"/>
  <c r="M30" i="3" s="1"/>
  <c r="N30" i="3" s="1"/>
  <c r="O30" i="3" s="1"/>
  <c r="P30" i="3" s="1"/>
  <c r="Q30" i="3" s="1"/>
  <c r="I27" i="10" l="1"/>
  <c r="I32" i="10" s="1"/>
  <c r="I34" i="10" s="1"/>
  <c r="K11" i="10"/>
  <c r="K12" i="10" s="1"/>
  <c r="K16" i="10" s="1"/>
  <c r="L10" i="10"/>
  <c r="J20" i="10"/>
  <c r="J19" i="10"/>
  <c r="D26" i="3"/>
  <c r="E26" i="3" s="1"/>
  <c r="F26" i="3" s="1"/>
  <c r="G26" i="3" s="1"/>
  <c r="H26" i="3" s="1"/>
  <c r="I26" i="3" s="1"/>
  <c r="J26" i="3" s="1"/>
  <c r="K26" i="3" s="1"/>
  <c r="L26" i="3" s="1"/>
  <c r="M26" i="3" s="1"/>
  <c r="N26" i="3" s="1"/>
  <c r="O26" i="3" s="1"/>
  <c r="P26" i="3" s="1"/>
  <c r="Q26" i="3" s="1"/>
  <c r="D25" i="3"/>
  <c r="E25" i="3" s="1"/>
  <c r="F25" i="3" s="1"/>
  <c r="G25" i="3" s="1"/>
  <c r="H25" i="3" s="1"/>
  <c r="I25" i="3" s="1"/>
  <c r="J25" i="3" s="1"/>
  <c r="K25" i="3" s="1"/>
  <c r="L25" i="3" s="1"/>
  <c r="M25" i="3" s="1"/>
  <c r="N25" i="3" s="1"/>
  <c r="O25" i="3" s="1"/>
  <c r="P25" i="3" s="1"/>
  <c r="Q25" i="3" s="1"/>
  <c r="D23" i="3"/>
  <c r="E23" i="3" s="1"/>
  <c r="F23" i="3" s="1"/>
  <c r="G23" i="3" s="1"/>
  <c r="H23" i="3" s="1"/>
  <c r="I23" i="3" s="1"/>
  <c r="J23" i="3" s="1"/>
  <c r="K23" i="3" s="1"/>
  <c r="L23" i="3" s="1"/>
  <c r="M23" i="3" s="1"/>
  <c r="N23" i="3" s="1"/>
  <c r="O23" i="3" s="1"/>
  <c r="P23" i="3" s="1"/>
  <c r="Q23" i="3" s="1"/>
  <c r="K20" i="10" l="1"/>
  <c r="K19" i="10"/>
  <c r="J27" i="10"/>
  <c r="J32" i="10" s="1"/>
  <c r="J34" i="10" s="1"/>
  <c r="L11" i="10"/>
  <c r="L12" i="10" s="1"/>
  <c r="L16" i="10" s="1"/>
  <c r="M10" i="10"/>
  <c r="D24" i="3"/>
  <c r="E24" i="3" s="1"/>
  <c r="F24" i="3" s="1"/>
  <c r="G24" i="3" s="1"/>
  <c r="H24" i="3" s="1"/>
  <c r="I24" i="3" s="1"/>
  <c r="J24" i="3" s="1"/>
  <c r="K24" i="3" s="1"/>
  <c r="L24" i="3" s="1"/>
  <c r="M24" i="3" s="1"/>
  <c r="N24" i="3" s="1"/>
  <c r="O24" i="3" s="1"/>
  <c r="P24" i="3" s="1"/>
  <c r="Q24" i="3" s="1"/>
  <c r="C5" i="9"/>
  <c r="C6" i="9" s="1"/>
  <c r="L20" i="10" l="1"/>
  <c r="L19" i="10"/>
  <c r="M11" i="10"/>
  <c r="M12" i="10" s="1"/>
  <c r="M16" i="10" s="1"/>
  <c r="N10" i="10"/>
  <c r="K27" i="10"/>
  <c r="K32" i="10" s="1"/>
  <c r="K34" i="10" s="1"/>
  <c r="M20" i="10" l="1"/>
  <c r="M19" i="10"/>
  <c r="O10" i="10"/>
  <c r="N11" i="10"/>
  <c r="N12" i="10" s="1"/>
  <c r="N16" i="10" s="1"/>
  <c r="L27" i="10"/>
  <c r="L32" i="10" s="1"/>
  <c r="L34" i="10" s="1"/>
  <c r="N20" i="10" l="1"/>
  <c r="N19" i="10"/>
  <c r="O11" i="10"/>
  <c r="O12" i="10" s="1"/>
  <c r="O16" i="10" s="1"/>
  <c r="P10" i="10"/>
  <c r="M27" i="10"/>
  <c r="M32" i="10" s="1"/>
  <c r="M34" i="10" s="1"/>
  <c r="O20" i="10" l="1"/>
  <c r="O19" i="10"/>
  <c r="P11" i="10"/>
  <c r="P12" i="10" s="1"/>
  <c r="P16" i="10" s="1"/>
  <c r="Q10" i="10"/>
  <c r="Q11" i="10" s="1"/>
  <c r="Q12" i="10" s="1"/>
  <c r="Q16" i="10" s="1"/>
  <c r="N27" i="10"/>
  <c r="N32" i="10" s="1"/>
  <c r="N34" i="10" s="1"/>
  <c r="Q20" i="10" l="1"/>
  <c r="Q19" i="10"/>
  <c r="P20" i="10"/>
  <c r="P19" i="10"/>
  <c r="P27" i="10" s="1"/>
  <c r="P32" i="10" s="1"/>
  <c r="P34" i="10" s="1"/>
  <c r="O27" i="10"/>
  <c r="O32" i="10" s="1"/>
  <c r="O34" i="10" s="1"/>
  <c r="B35" i="5"/>
  <c r="D34" i="5"/>
  <c r="B32" i="5"/>
  <c r="B31" i="5"/>
  <c r="B30" i="5"/>
  <c r="B29" i="5"/>
  <c r="B28" i="5"/>
  <c r="B26" i="5"/>
  <c r="D25" i="5"/>
  <c r="H8" i="5"/>
  <c r="C6" i="6"/>
  <c r="C8" i="6" s="1"/>
  <c r="Q27" i="10" l="1"/>
  <c r="Q32" i="10" s="1"/>
  <c r="Q34" i="10" s="1"/>
  <c r="C9" i="6"/>
  <c r="B33" i="5" s="1"/>
  <c r="C33" i="5" s="1"/>
  <c r="D33" i="5" s="1"/>
  <c r="D8" i="6"/>
  <c r="D30" i="5"/>
  <c r="D32" i="5"/>
  <c r="D29" i="5"/>
  <c r="D31" i="5"/>
  <c r="C28" i="5"/>
  <c r="D28" i="5" s="1"/>
  <c r="D35" i="5"/>
  <c r="D26" i="5"/>
  <c r="C36" i="5" l="1"/>
  <c r="B5" i="5" s="1"/>
  <c r="G13" i="5" s="1"/>
  <c r="G14" i="5" s="1"/>
  <c r="G15" i="5" l="1"/>
  <c r="H13" i="5" s="1"/>
  <c r="H14" i="5" s="1"/>
  <c r="H15" i="5" s="1"/>
  <c r="I13" i="5" s="1"/>
  <c r="I14" i="5" s="1"/>
  <c r="I15" i="5" s="1"/>
  <c r="J13" i="5" s="1"/>
  <c r="J14" i="5" s="1"/>
  <c r="J15" i="5" s="1"/>
  <c r="K13" i="5" s="1"/>
  <c r="K14" i="5" s="1"/>
  <c r="K15" i="5" s="1"/>
  <c r="L13" i="5" s="1"/>
  <c r="L14" i="5" s="1"/>
  <c r="L15" i="5" s="1"/>
  <c r="M13" i="5" s="1"/>
  <c r="M14" i="5" s="1"/>
  <c r="M15" i="5" s="1"/>
  <c r="N13" i="5" s="1"/>
  <c r="N14" i="5" s="1"/>
  <c r="N15" i="5" s="1"/>
  <c r="O13" i="5" s="1"/>
  <c r="O14" i="5" s="1"/>
  <c r="O15" i="5" s="1"/>
  <c r="P13" i="5" s="1"/>
  <c r="P14" i="5" s="1"/>
  <c r="P15" i="5" s="1"/>
  <c r="Q13" i="5" s="1"/>
  <c r="Q14" i="5" s="1"/>
  <c r="Q15" i="5" s="1"/>
  <c r="R13" i="5" s="1"/>
  <c r="R14" i="5" s="1"/>
  <c r="R15" i="5" s="1"/>
  <c r="G16" i="5"/>
  <c r="B6" i="5"/>
  <c r="H16" i="5" l="1"/>
  <c r="I16" i="5" s="1"/>
  <c r="J16" i="5" s="1"/>
  <c r="K16" i="5" s="1"/>
  <c r="L16" i="5" s="1"/>
  <c r="M16" i="5" s="1"/>
  <c r="N16" i="5" s="1"/>
  <c r="O16" i="5" s="1"/>
  <c r="P16" i="5" s="1"/>
  <c r="Q16" i="5" s="1"/>
  <c r="R16" i="5" s="1"/>
  <c r="B27" i="5" l="1"/>
  <c r="D27" i="5" s="1"/>
  <c r="B36" i="5" l="1"/>
  <c r="D36" i="5" s="1"/>
  <c r="C13" i="3" l="1"/>
  <c r="C14" i="3" l="1"/>
  <c r="C15" i="3" s="1"/>
  <c r="C16" i="3" s="1"/>
  <c r="C27" i="3" s="1"/>
  <c r="D13" i="3"/>
  <c r="E13" i="3" s="1"/>
  <c r="D10" i="3"/>
  <c r="D14" i="3" l="1"/>
  <c r="D15" i="3" s="1"/>
  <c r="C19" i="3"/>
  <c r="F13" i="3"/>
  <c r="E14" i="3"/>
  <c r="E15" i="3" s="1"/>
  <c r="D11" i="3"/>
  <c r="D12" i="3" s="1"/>
  <c r="E10" i="3"/>
  <c r="D16" i="3" l="1"/>
  <c r="D27" i="3" s="1"/>
  <c r="C32" i="3"/>
  <c r="C34" i="3" s="1"/>
  <c r="C35" i="3" s="1"/>
  <c r="G13" i="3"/>
  <c r="F14" i="3"/>
  <c r="F15" i="3" s="1"/>
  <c r="E11" i="3"/>
  <c r="E12" i="3" s="1"/>
  <c r="E16" i="3" s="1"/>
  <c r="E27" i="3" s="1"/>
  <c r="F10" i="3"/>
  <c r="D50" i="3" l="1"/>
  <c r="C37" i="3"/>
  <c r="D19" i="3"/>
  <c r="E19" i="3"/>
  <c r="H13" i="3"/>
  <c r="G14" i="3"/>
  <c r="G15" i="3" s="1"/>
  <c r="F11" i="3"/>
  <c r="F12" i="3" s="1"/>
  <c r="F16" i="3" s="1"/>
  <c r="F27" i="3" s="1"/>
  <c r="G10" i="3"/>
  <c r="F19" i="3" l="1"/>
  <c r="H14" i="3"/>
  <c r="H15" i="3" s="1"/>
  <c r="I13" i="3"/>
  <c r="G11" i="3"/>
  <c r="G12" i="3" s="1"/>
  <c r="G16" i="3" s="1"/>
  <c r="G27" i="3" s="1"/>
  <c r="H10" i="3"/>
  <c r="G19" i="3" l="1"/>
  <c r="I14" i="3"/>
  <c r="I15" i="3" s="1"/>
  <c r="J13" i="3"/>
  <c r="K13" i="3" s="1"/>
  <c r="I10" i="3"/>
  <c r="H11" i="3"/>
  <c r="H12" i="3" s="1"/>
  <c r="H16" i="3" s="1"/>
  <c r="H27" i="3" s="1"/>
  <c r="L13" i="3" l="1"/>
  <c r="K14" i="3"/>
  <c r="K15" i="3" s="1"/>
  <c r="H19" i="3"/>
  <c r="J14" i="3"/>
  <c r="J15" i="3" s="1"/>
  <c r="J10" i="3"/>
  <c r="I11" i="3"/>
  <c r="I12" i="3" s="1"/>
  <c r="I16" i="3" s="1"/>
  <c r="I27" i="3" s="1"/>
  <c r="D66" i="8"/>
  <c r="C27" i="8"/>
  <c r="D27" i="8" s="1"/>
  <c r="C46" i="8"/>
  <c r="D46" i="8" s="1"/>
  <c r="C39" i="8"/>
  <c r="D39" i="8" s="1"/>
  <c r="C11" i="8"/>
  <c r="D11" i="8" s="1"/>
  <c r="M13" i="3" l="1"/>
  <c r="L14" i="3"/>
  <c r="L15" i="3" s="1"/>
  <c r="I19" i="3"/>
  <c r="K10" i="3"/>
  <c r="L10" i="3" s="1"/>
  <c r="J11" i="3"/>
  <c r="J12" i="3" s="1"/>
  <c r="J16" i="3" s="1"/>
  <c r="J27" i="3" s="1"/>
  <c r="N13" i="3" l="1"/>
  <c r="M14" i="3"/>
  <c r="M15" i="3" s="1"/>
  <c r="J19" i="3"/>
  <c r="M10" i="3"/>
  <c r="L11" i="3"/>
  <c r="L12" i="3" s="1"/>
  <c r="L16" i="3" s="1"/>
  <c r="L27" i="3" s="1"/>
  <c r="K11" i="3"/>
  <c r="K12" i="3" s="1"/>
  <c r="O13" i="3" l="1"/>
  <c r="N14" i="3"/>
  <c r="N15" i="3" s="1"/>
  <c r="N10" i="3"/>
  <c r="M11" i="3"/>
  <c r="M12" i="3" s="1"/>
  <c r="M16" i="3" s="1"/>
  <c r="M27" i="3" s="1"/>
  <c r="K16" i="3"/>
  <c r="K27" i="3" s="1"/>
  <c r="L19" i="3"/>
  <c r="P13" i="3" l="1"/>
  <c r="O14" i="3"/>
  <c r="O15" i="3" s="1"/>
  <c r="K19" i="3"/>
  <c r="O10" i="3"/>
  <c r="N11" i="3"/>
  <c r="N12" i="3" s="1"/>
  <c r="N16" i="3" s="1"/>
  <c r="N27" i="3" s="1"/>
  <c r="M19" i="3"/>
  <c r="Q13" i="3" l="1"/>
  <c r="P14" i="3"/>
  <c r="P15" i="3" s="1"/>
  <c r="P10" i="3"/>
  <c r="O11" i="3"/>
  <c r="O12" i="3" s="1"/>
  <c r="O16" i="3" s="1"/>
  <c r="O27" i="3" s="1"/>
  <c r="N19" i="3"/>
  <c r="Q14" i="3" l="1"/>
  <c r="Q15" i="3" s="1"/>
  <c r="Q10" i="3"/>
  <c r="P11" i="3"/>
  <c r="P12" i="3" s="1"/>
  <c r="P16" i="3" s="1"/>
  <c r="P27" i="3" s="1"/>
  <c r="O19" i="3"/>
  <c r="Q11" i="3" l="1"/>
  <c r="Q12" i="3" s="1"/>
  <c r="Q16" i="3" s="1"/>
  <c r="Q27" i="3" s="1"/>
  <c r="P19" i="3"/>
  <c r="Q19" i="3" l="1"/>
  <c r="Q32" i="3" l="1"/>
  <c r="Q34" i="3" s="1"/>
  <c r="O32" i="3"/>
  <c r="O34" i="3" s="1"/>
  <c r="M32" i="3"/>
  <c r="M34" i="3" s="1"/>
  <c r="K32" i="3"/>
  <c r="K34" i="3" s="1"/>
  <c r="I32" i="3"/>
  <c r="I34" i="3" s="1"/>
  <c r="G32" i="3"/>
  <c r="G34" i="3" s="1"/>
  <c r="E32" i="3"/>
  <c r="E34" i="3" s="1"/>
  <c r="D32" i="3"/>
  <c r="D34" i="3" s="1"/>
  <c r="P32" i="3"/>
  <c r="P34" i="3" s="1"/>
  <c r="N32" i="3"/>
  <c r="N34" i="3" s="1"/>
  <c r="L32" i="3"/>
  <c r="L34" i="3" s="1"/>
  <c r="J32" i="3"/>
  <c r="J34" i="3" s="1"/>
  <c r="H32" i="3"/>
  <c r="H34" i="3" s="1"/>
  <c r="F32" i="3"/>
  <c r="F34" i="3" s="1"/>
  <c r="D35" i="3"/>
  <c r="C44" i="3"/>
  <c r="D44" i="3" s="1"/>
  <c r="D46" i="3" s="1"/>
  <c r="C38" i="3" l="1"/>
  <c r="C39" i="3" s="1"/>
  <c r="E35" i="3"/>
  <c r="D36" i="3"/>
  <c r="D37" i="3"/>
  <c r="D38" i="3" l="1"/>
  <c r="D39" i="3" s="1"/>
  <c r="F35" i="3"/>
  <c r="E37" i="3"/>
  <c r="E36" i="3"/>
  <c r="G35" i="3" l="1"/>
  <c r="F37" i="3"/>
  <c r="F36" i="3"/>
  <c r="E38" i="3"/>
  <c r="E39" i="3" s="1"/>
  <c r="F38" i="3" l="1"/>
  <c r="F39" i="3" s="1"/>
  <c r="H35" i="3"/>
  <c r="G36" i="3"/>
  <c r="G37" i="3"/>
  <c r="G38" i="3" l="1"/>
  <c r="G39" i="3" s="1"/>
  <c r="I35" i="3"/>
  <c r="H36" i="3"/>
  <c r="H37" i="3"/>
  <c r="H38" i="3" l="1"/>
  <c r="H39" i="3" s="1"/>
  <c r="J35" i="3"/>
  <c r="I36" i="3"/>
  <c r="I37" i="3"/>
  <c r="I38" i="3" l="1"/>
  <c r="I39" i="3" s="1"/>
  <c r="K35" i="3"/>
  <c r="J36" i="3"/>
  <c r="J37" i="3"/>
  <c r="J38" i="3" l="1"/>
  <c r="J39" i="3" s="1"/>
  <c r="L35" i="3"/>
  <c r="L36" i="3" s="1"/>
  <c r="K37" i="3"/>
  <c r="K36" i="3"/>
  <c r="K38" i="3" l="1"/>
  <c r="K39" i="3" s="1"/>
  <c r="M35" i="3"/>
  <c r="M36" i="3" s="1"/>
  <c r="L37" i="3"/>
  <c r="L38" i="3" l="1"/>
  <c r="L39" i="3" s="1"/>
  <c r="N35" i="3"/>
  <c r="N36" i="3" s="1"/>
  <c r="M37" i="3"/>
  <c r="M38" i="3" l="1"/>
  <c r="M39" i="3" s="1"/>
  <c r="O35" i="3"/>
  <c r="O36" i="3" s="1"/>
  <c r="N37" i="3"/>
  <c r="N38" i="3" l="1"/>
  <c r="N39" i="3" s="1"/>
  <c r="P35" i="3"/>
  <c r="P36" i="3" s="1"/>
  <c r="O37" i="3"/>
  <c r="O38" i="3" l="1"/>
  <c r="O39" i="3" s="1"/>
  <c r="Q35" i="3"/>
  <c r="Q36" i="3" s="1"/>
  <c r="P37" i="3"/>
  <c r="P38" i="3" l="1"/>
  <c r="P39" i="3" s="1"/>
  <c r="Q37" i="3"/>
  <c r="Q38" i="3" l="1"/>
  <c r="Q39" i="3" s="1"/>
  <c r="C35" i="10"/>
  <c r="C37" i="10" s="1"/>
  <c r="C38" i="10" l="1"/>
  <c r="C39" i="10" s="1"/>
  <c r="C44" i="10"/>
  <c r="D44" i="10" s="1"/>
  <c r="D46" i="10" s="1"/>
  <c r="D50" i="10"/>
  <c r="D35" i="10"/>
  <c r="D36" i="10" l="1"/>
  <c r="D37" i="10"/>
  <c r="E35" i="10"/>
  <c r="E37" i="10" l="1"/>
  <c r="F35" i="10"/>
  <c r="E36" i="10"/>
  <c r="D38" i="10"/>
  <c r="D39" i="10" s="1"/>
  <c r="E38" i="10" l="1"/>
  <c r="E39" i="10" s="1"/>
  <c r="F37" i="10"/>
  <c r="F36" i="10"/>
  <c r="G35" i="10"/>
  <c r="G36" i="10" l="1"/>
  <c r="H35" i="10"/>
  <c r="G37" i="10"/>
  <c r="F38" i="10"/>
  <c r="F39" i="10" s="1"/>
  <c r="G38" i="10" l="1"/>
  <c r="G39" i="10" s="1"/>
  <c r="H36" i="10"/>
  <c r="H37" i="10"/>
  <c r="I35" i="10"/>
  <c r="I37" i="10" l="1"/>
  <c r="J35" i="10"/>
  <c r="I36" i="10"/>
  <c r="H38" i="10"/>
  <c r="H39" i="10" s="1"/>
  <c r="I38" i="10" l="1"/>
  <c r="I39" i="10" s="1"/>
  <c r="J36" i="10"/>
  <c r="J37" i="10"/>
  <c r="K35" i="10"/>
  <c r="L35" i="10" l="1"/>
  <c r="K36" i="10"/>
  <c r="K37" i="10"/>
  <c r="J38" i="10"/>
  <c r="J39" i="10" s="1"/>
  <c r="K38" i="10" l="1"/>
  <c r="K39" i="10" s="1"/>
  <c r="L37" i="10"/>
  <c r="L36" i="10"/>
  <c r="M35" i="10"/>
  <c r="M36" i="10" l="1"/>
  <c r="M37" i="10"/>
  <c r="N35" i="10"/>
  <c r="L38" i="10"/>
  <c r="L39" i="10" s="1"/>
  <c r="N36" i="10" l="1"/>
  <c r="N37" i="10"/>
  <c r="O35" i="10"/>
  <c r="M38" i="10"/>
  <c r="M39" i="10" s="1"/>
  <c r="O36" i="10" l="1"/>
  <c r="P35" i="10"/>
  <c r="O37" i="10"/>
  <c r="N38" i="10"/>
  <c r="N39" i="10" s="1"/>
  <c r="O38" i="10" l="1"/>
  <c r="O39" i="10" s="1"/>
  <c r="P36" i="10"/>
  <c r="P37" i="10"/>
  <c r="Q35" i="10"/>
  <c r="Q36" i="10" l="1"/>
  <c r="Q37" i="10"/>
  <c r="P38" i="10"/>
  <c r="P39" i="10" s="1"/>
  <c r="Q38" i="10" l="1"/>
  <c r="Q39" i="10" s="1"/>
  <c r="E28" i="12"/>
  <c r="E30" i="12" s="1"/>
  <c r="D30" i="12"/>
  <c r="D29" i="12"/>
  <c r="E29" i="12" l="1"/>
  <c r="F28" i="12"/>
  <c r="F29" i="12" l="1"/>
  <c r="G28" i="12"/>
  <c r="F30" i="12"/>
  <c r="G29" i="12" l="1"/>
  <c r="G30" i="12"/>
  <c r="H28" i="12"/>
  <c r="H29" i="12" l="1"/>
  <c r="I28" i="12"/>
  <c r="H30" i="12"/>
  <c r="I29" i="12" l="1"/>
  <c r="I30" i="12"/>
  <c r="J28" i="12"/>
  <c r="J29" i="12" l="1"/>
  <c r="K28" i="12"/>
  <c r="J30" i="12"/>
  <c r="K30" i="12" l="1"/>
  <c r="K29" i="12"/>
  <c r="L28" i="12"/>
  <c r="L29" i="12" l="1"/>
  <c r="M28" i="12"/>
  <c r="L30" i="12"/>
  <c r="M29" i="12" l="1"/>
  <c r="M30" i="12"/>
  <c r="N28" i="12"/>
  <c r="N29" i="12" l="1"/>
  <c r="O28" i="12"/>
  <c r="N30" i="12"/>
  <c r="O30" i="12" l="1"/>
  <c r="O29" i="12"/>
  <c r="P28" i="12"/>
  <c r="Q28" i="12" l="1"/>
  <c r="P30" i="12"/>
  <c r="P29" i="12"/>
  <c r="Q29" i="12" l="1"/>
  <c r="Q30" i="12"/>
  <c r="E36" i="1" l="1"/>
  <c r="C10" i="19" s="1"/>
  <c r="D10" i="19" s="1"/>
  <c r="E10" i="19" l="1"/>
  <c r="F10" i="19"/>
  <c r="D36" i="1"/>
  <c r="C36" i="1"/>
  <c r="D18" i="1"/>
  <c r="E21" i="1"/>
  <c r="B28" i="1" s="1"/>
  <c r="C21" i="1" l="1"/>
  <c r="D21" i="1"/>
  <c r="E23" i="1"/>
  <c r="E24" i="1" s="1"/>
  <c r="D24" i="1" l="1"/>
  <c r="C24" i="1"/>
  <c r="C9" i="19"/>
  <c r="D9" i="19" s="1"/>
  <c r="E56" i="1"/>
  <c r="D23" i="1"/>
  <c r="C23" i="1"/>
  <c r="D56" i="1" l="1"/>
  <c r="C56" i="1"/>
  <c r="E59" i="1"/>
  <c r="E61" i="1" s="1"/>
  <c r="E9" i="19"/>
  <c r="F9" i="19"/>
  <c r="E87" i="1" l="1"/>
  <c r="D61" i="1"/>
  <c r="C61" i="1"/>
  <c r="E74" i="1"/>
  <c r="D59" i="1"/>
  <c r="C12" i="19"/>
  <c r="D12" i="19" s="1"/>
  <c r="D14" i="19" s="1"/>
  <c r="I59" i="1"/>
  <c r="C59" i="1"/>
  <c r="C74" i="1" l="1"/>
  <c r="D74" i="1"/>
</calcChain>
</file>

<file path=xl/comments1.xml><?xml version="1.0" encoding="utf-8"?>
<comments xmlns="http://schemas.openxmlformats.org/spreadsheetml/2006/main">
  <authors>
    <author>Shantel Asante-Kissi</author>
  </authors>
  <commentList>
    <comment ref="I60" authorId="0">
      <text>
        <r>
          <rPr>
            <b/>
            <sz val="8"/>
            <color indexed="81"/>
            <rFont val="Tahoma"/>
            <family val="2"/>
          </rPr>
          <t>Shantel Asante-Kissi:</t>
        </r>
        <r>
          <rPr>
            <sz val="8"/>
            <color indexed="81"/>
            <rFont val="Tahoma"/>
            <family val="2"/>
          </rPr>
          <t xml:space="preserve">
Per Renee…we have to have a figure here.  Albeit arbitrary</t>
        </r>
      </text>
    </comment>
  </commentList>
</comments>
</file>

<file path=xl/comments2.xml><?xml version="1.0" encoding="utf-8"?>
<comments xmlns="http://schemas.openxmlformats.org/spreadsheetml/2006/main">
  <authors>
    <author>Shantel Asante-Kissi</author>
  </authors>
  <commentList>
    <comment ref="C17" authorId="0">
      <text>
        <r>
          <rPr>
            <b/>
            <sz val="8"/>
            <color indexed="81"/>
            <rFont val="Tahoma"/>
            <family val="2"/>
          </rPr>
          <t>Shantel Asante-Kissi:</t>
        </r>
        <r>
          <rPr>
            <sz val="8"/>
            <color indexed="81"/>
            <rFont val="Tahoma"/>
            <family val="2"/>
          </rPr>
          <t xml:space="preserve">
2010 UA</t>
        </r>
      </text>
    </comment>
    <comment ref="D17" authorId="0">
      <text>
        <r>
          <rPr>
            <b/>
            <sz val="8"/>
            <color indexed="81"/>
            <rFont val="Tahoma"/>
            <family val="2"/>
          </rPr>
          <t>Shantel Asante-Kissi:</t>
        </r>
        <r>
          <rPr>
            <sz val="8"/>
            <color indexed="81"/>
            <rFont val="Tahoma"/>
            <family val="2"/>
          </rPr>
          <t xml:space="preserve">
2010 UA</t>
        </r>
      </text>
    </comment>
  </commentList>
</comments>
</file>

<file path=xl/comments3.xml><?xml version="1.0" encoding="utf-8"?>
<comments xmlns="http://schemas.openxmlformats.org/spreadsheetml/2006/main">
  <authors>
    <author>John Restrepo</author>
    <author>Sasantekissi</author>
  </authors>
  <commentList>
    <comment ref="C17" authorId="0">
      <text>
        <r>
          <rPr>
            <b/>
            <sz val="9"/>
            <color indexed="81"/>
            <rFont val="Tahoma"/>
            <family val="2"/>
          </rPr>
          <t>John Restrepo:</t>
        </r>
        <r>
          <rPr>
            <sz val="9"/>
            <color indexed="81"/>
            <rFont val="Tahoma"/>
            <family val="2"/>
          </rPr>
          <t xml:space="preserve">
This still concerns me. Does this match on a per unit basis what is going on at resurrectionnhosue, that should be our reference point
</t>
        </r>
      </text>
    </comment>
    <comment ref="A23" authorId="0">
      <text>
        <r>
          <rPr>
            <b/>
            <sz val="8"/>
            <color indexed="81"/>
            <rFont val="Tahoma"/>
            <family val="2"/>
          </rPr>
          <t>John Restrepo:</t>
        </r>
        <r>
          <rPr>
            <sz val="8"/>
            <color indexed="81"/>
            <rFont val="Tahoma"/>
            <family val="2"/>
          </rPr>
          <t xml:space="preserve">
we pay tenant utilities
70 Beacon was $15,000 per year
</t>
        </r>
      </text>
    </comment>
    <comment ref="C24" authorId="0">
      <text>
        <r>
          <rPr>
            <b/>
            <sz val="9"/>
            <color indexed="81"/>
            <rFont val="Tahoma"/>
            <family val="2"/>
          </rPr>
          <t>John Restrepo:</t>
        </r>
        <r>
          <rPr>
            <sz val="9"/>
            <color indexed="81"/>
            <rFont val="Tahoma"/>
            <family val="2"/>
          </rPr>
          <t xml:space="preserve">
this is low. Did you get a quote from lamb or mcdowell as I suggested for replacement valueI Increased, but confirm with quote
</t>
        </r>
      </text>
    </comment>
    <comment ref="B30" authorId="1">
      <text>
        <r>
          <rPr>
            <b/>
            <sz val="8"/>
            <color indexed="81"/>
            <rFont val="Tahoma"/>
            <family val="2"/>
          </rPr>
          <t>Sasantekissi:</t>
        </r>
        <r>
          <rPr>
            <sz val="8"/>
            <color indexed="81"/>
            <rFont val="Tahoma"/>
            <family val="2"/>
          </rPr>
          <t xml:space="preserve">
$55 PUPM for Landex</t>
        </r>
      </text>
    </comment>
    <comment ref="C36" authorId="0">
      <text>
        <r>
          <rPr>
            <b/>
            <sz val="9"/>
            <color indexed="81"/>
            <rFont val="Tahoma"/>
            <family val="2"/>
          </rPr>
          <t>John Restrepo:</t>
        </r>
        <r>
          <rPr>
            <sz val="9"/>
            <color indexed="81"/>
            <rFont val="Tahoma"/>
            <family val="2"/>
          </rPr>
          <t xml:space="preserve">
I increased to 1.25 to give us more of a cushion for operations, it also reduces the loan amount.
</t>
        </r>
      </text>
    </comment>
    <comment ref="C42" authorId="0">
      <text>
        <r>
          <rPr>
            <b/>
            <sz val="9"/>
            <color indexed="81"/>
            <rFont val="Tahoma"/>
            <family val="2"/>
          </rPr>
          <t>John Restrepo:</t>
        </r>
        <r>
          <rPr>
            <sz val="9"/>
            <color indexed="81"/>
            <rFont val="Tahoma"/>
            <family val="2"/>
          </rPr>
          <t xml:space="preserve">
confirm these terms is what they are using for rate and amortization period.</t>
        </r>
      </text>
    </comment>
  </commentList>
</comments>
</file>

<file path=xl/comments4.xml><?xml version="1.0" encoding="utf-8"?>
<comments xmlns="http://schemas.openxmlformats.org/spreadsheetml/2006/main">
  <authors>
    <author>John Restrepo</author>
    <author>Sasantekissi</author>
  </authors>
  <commentList>
    <comment ref="C17" authorId="0">
      <text>
        <r>
          <rPr>
            <b/>
            <sz val="9"/>
            <color indexed="81"/>
            <rFont val="Tahoma"/>
            <family val="2"/>
          </rPr>
          <t>John Restrepo:</t>
        </r>
        <r>
          <rPr>
            <sz val="9"/>
            <color indexed="81"/>
            <rFont val="Tahoma"/>
            <family val="2"/>
          </rPr>
          <t xml:space="preserve">
This still concerns me. Does this match on a per unit basis what is going on at resurrectionnhosue, that should be our reference point
</t>
        </r>
      </text>
    </comment>
    <comment ref="A23" authorId="0">
      <text>
        <r>
          <rPr>
            <b/>
            <sz val="8"/>
            <color indexed="81"/>
            <rFont val="Tahoma"/>
            <family val="2"/>
          </rPr>
          <t>John Restrepo:</t>
        </r>
        <r>
          <rPr>
            <sz val="8"/>
            <color indexed="81"/>
            <rFont val="Tahoma"/>
            <family val="2"/>
          </rPr>
          <t xml:space="preserve">
we pay tenant utilities
70 Beacon was $15,000 per year
</t>
        </r>
      </text>
    </comment>
    <comment ref="C24" authorId="0">
      <text>
        <r>
          <rPr>
            <b/>
            <sz val="9"/>
            <color indexed="81"/>
            <rFont val="Tahoma"/>
            <family val="2"/>
          </rPr>
          <t>John Restrepo:</t>
        </r>
        <r>
          <rPr>
            <sz val="9"/>
            <color indexed="81"/>
            <rFont val="Tahoma"/>
            <family val="2"/>
          </rPr>
          <t xml:space="preserve">
this is low. Did you get a quote from lamb or mcdowell as I suggested for replacement valueI Increased, but confirm with quote
This is per HMFA and the guidelines</t>
        </r>
      </text>
    </comment>
    <comment ref="B30" authorId="1">
      <text>
        <r>
          <rPr>
            <b/>
            <sz val="8"/>
            <color indexed="81"/>
            <rFont val="Tahoma"/>
            <family val="2"/>
          </rPr>
          <t>Sasantekissi:</t>
        </r>
        <r>
          <rPr>
            <sz val="8"/>
            <color indexed="81"/>
            <rFont val="Tahoma"/>
            <family val="2"/>
          </rPr>
          <t xml:space="preserve">
$55 PUPM for Landex</t>
        </r>
      </text>
    </comment>
    <comment ref="C36" authorId="0">
      <text>
        <r>
          <rPr>
            <b/>
            <sz val="9"/>
            <color indexed="81"/>
            <rFont val="Tahoma"/>
            <family val="2"/>
          </rPr>
          <t>John Restrepo:</t>
        </r>
        <r>
          <rPr>
            <sz val="9"/>
            <color indexed="81"/>
            <rFont val="Tahoma"/>
            <family val="2"/>
          </rPr>
          <t xml:space="preserve">
I increased to 1.25 to give us more of a cushion for operations, it also reduces the loan amount.
</t>
        </r>
      </text>
    </comment>
  </commentList>
</comments>
</file>

<file path=xl/comments5.xml><?xml version="1.0" encoding="utf-8"?>
<comments xmlns="http://schemas.openxmlformats.org/spreadsheetml/2006/main">
  <authors>
    <author>Shantel Asante-Kissi</author>
    <author>John Restrepo</author>
  </authors>
  <commentList>
    <comment ref="C9" authorId="0">
      <text>
        <r>
          <rPr>
            <b/>
            <sz val="8"/>
            <color indexed="81"/>
            <rFont val="Tahoma"/>
            <family val="2"/>
          </rPr>
          <t>Shantel Asante-Kissi:</t>
        </r>
        <r>
          <rPr>
            <sz val="8"/>
            <color indexed="81"/>
            <rFont val="Tahoma"/>
            <family val="2"/>
          </rPr>
          <t xml:space="preserve">
Rent based on 65% rent limit  at $1003 
and utility allowance for 2010 at $161
</t>
        </r>
      </text>
    </comment>
    <comment ref="A23" authorId="0">
      <text>
        <r>
          <rPr>
            <b/>
            <sz val="8"/>
            <color indexed="81"/>
            <rFont val="Tahoma"/>
            <family val="2"/>
          </rPr>
          <t>Shantel Asante-Kissi:</t>
        </r>
        <r>
          <rPr>
            <sz val="8"/>
            <color indexed="81"/>
            <rFont val="Tahoma"/>
            <family val="2"/>
          </rPr>
          <t xml:space="preserve">
Management fee is 3% increments not 4% per Renee</t>
        </r>
      </text>
    </comment>
    <comment ref="A24" authorId="0">
      <text>
        <r>
          <rPr>
            <b/>
            <sz val="8"/>
            <color indexed="81"/>
            <rFont val="Tahoma"/>
            <family val="2"/>
          </rPr>
          <t>Shantel Asante-Kissi:</t>
        </r>
        <r>
          <rPr>
            <sz val="8"/>
            <color indexed="81"/>
            <rFont val="Tahoma"/>
            <family val="2"/>
          </rPr>
          <t xml:space="preserve">
It's $440 per unit, per Renee, it does not trend
</t>
        </r>
      </text>
    </comment>
    <comment ref="C24" authorId="0">
      <text>
        <r>
          <rPr>
            <b/>
            <sz val="8"/>
            <color indexed="81"/>
            <rFont val="Tahoma"/>
            <family val="2"/>
          </rPr>
          <t>Shantel Asante-Kissi:</t>
        </r>
        <r>
          <rPr>
            <sz val="8"/>
            <color indexed="81"/>
            <rFont val="Tahoma"/>
            <family val="2"/>
          </rPr>
          <t xml:space="preserve">
Flat rate, no trending
</t>
        </r>
      </text>
    </comment>
    <comment ref="C34" authorId="1">
      <text>
        <r>
          <rPr>
            <b/>
            <sz val="9"/>
            <color indexed="81"/>
            <rFont val="Tahoma"/>
            <family val="2"/>
          </rPr>
          <t>John Restrepo:</t>
        </r>
        <r>
          <rPr>
            <sz val="9"/>
            <color indexed="81"/>
            <rFont val="Tahoma"/>
            <family val="2"/>
          </rPr>
          <t xml:space="preserve">
confirm these terms is what they are using for rate and amortization period.</t>
        </r>
      </text>
    </comment>
  </commentList>
</comments>
</file>

<file path=xl/comments6.xml><?xml version="1.0" encoding="utf-8"?>
<comments xmlns="http://schemas.openxmlformats.org/spreadsheetml/2006/main">
  <authors>
    <author>Shantel Asante-Kissi</author>
  </authors>
  <commentList>
    <comment ref="B10" authorId="0">
      <text>
        <r>
          <rPr>
            <b/>
            <sz val="8"/>
            <color indexed="81"/>
            <rFont val="Tahoma"/>
            <family val="2"/>
          </rPr>
          <t>Shantel Asante-Kissi:</t>
        </r>
        <r>
          <rPr>
            <sz val="8"/>
            <color indexed="81"/>
            <rFont val="Tahoma"/>
            <family val="2"/>
          </rPr>
          <t xml:space="preserve">
Increase in rental income by reducing the Utilility Allowance by $46
</t>
        </r>
      </text>
    </comment>
    <comment ref="B13" authorId="0">
      <text>
        <r>
          <rPr>
            <b/>
            <sz val="8"/>
            <color indexed="81"/>
            <rFont val="Tahoma"/>
            <family val="2"/>
          </rPr>
          <t>Shantel Asante-Kissi:</t>
        </r>
        <r>
          <rPr>
            <sz val="8"/>
            <color indexed="81"/>
            <rFont val="Tahoma"/>
            <family val="2"/>
          </rPr>
          <t xml:space="preserve">
Rents subsidy flat after year 1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Shantel Asante-Kissi:</t>
        </r>
        <r>
          <rPr>
            <sz val="8"/>
            <color indexed="81"/>
            <rFont val="Tahoma"/>
            <family val="2"/>
          </rPr>
          <t xml:space="preserve">
Stays flat…doesn't trend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Shantel Asante-Kissi:</t>
        </r>
        <r>
          <rPr>
            <sz val="8"/>
            <color indexed="81"/>
            <rFont val="Tahoma"/>
            <family val="2"/>
          </rPr>
          <t xml:space="preserve">
Elimination of ODEA to support the project when it starts to trend negatively in year 11
</t>
        </r>
      </text>
    </comment>
    <comment ref="B26" authorId="0">
      <text>
        <r>
          <rPr>
            <b/>
            <sz val="8"/>
            <color indexed="81"/>
            <rFont val="Tahoma"/>
            <family val="2"/>
          </rPr>
          <t>Shantel Asante-Kissi:</t>
        </r>
        <r>
          <rPr>
            <sz val="8"/>
            <color indexed="81"/>
            <rFont val="Tahoma"/>
            <family val="2"/>
          </rPr>
          <t xml:space="preserve">
Very slight reduction of $130</t>
        </r>
      </text>
    </comment>
    <comment ref="D27" authorId="0">
      <text>
        <r>
          <rPr>
            <b/>
            <sz val="8"/>
            <color indexed="81"/>
            <rFont val="Tahoma"/>
            <family val="2"/>
          </rPr>
          <t>Shantel Asante-Kissi:</t>
        </r>
        <r>
          <rPr>
            <sz val="8"/>
            <color indexed="81"/>
            <rFont val="Tahoma"/>
            <family val="2"/>
          </rPr>
          <t xml:space="preserve">
gives us a little cushion since city may not see this income 
 HMFA uses gross effective income
</t>
        </r>
      </text>
    </comment>
    <comment ref="A30" authorId="0">
      <text>
        <r>
          <rPr>
            <b/>
            <sz val="8"/>
            <color indexed="81"/>
            <rFont val="Tahoma"/>
            <family val="2"/>
          </rPr>
          <t>Shantel Asante-Kissi:</t>
        </r>
        <r>
          <rPr>
            <sz val="8"/>
            <color indexed="81"/>
            <rFont val="Tahoma"/>
            <family val="2"/>
          </rPr>
          <t xml:space="preserve">
Management fee is 3% increments not 4% per Renee</t>
        </r>
      </text>
    </comment>
    <comment ref="A31" authorId="0">
      <text>
        <r>
          <rPr>
            <b/>
            <sz val="8"/>
            <color indexed="81"/>
            <rFont val="Tahoma"/>
            <family val="2"/>
          </rPr>
          <t>Shantel Asante-Kissi:</t>
        </r>
        <r>
          <rPr>
            <sz val="8"/>
            <color indexed="81"/>
            <rFont val="Tahoma"/>
            <family val="2"/>
          </rPr>
          <t xml:space="preserve">
It's $440 per unit, per Renee, it does not trend
</t>
        </r>
      </text>
    </comment>
  </commentList>
</comments>
</file>

<file path=xl/comments7.xml><?xml version="1.0" encoding="utf-8"?>
<comments xmlns="http://schemas.openxmlformats.org/spreadsheetml/2006/main">
  <authors>
    <author>Shantel Asante-Kissi</author>
  </authors>
  <commentList>
    <comment ref="H59" authorId="0">
      <text>
        <r>
          <rPr>
            <b/>
            <sz val="8"/>
            <color indexed="81"/>
            <rFont val="Tahoma"/>
            <family val="2"/>
          </rPr>
          <t>Shantel Asante-Kissi:</t>
        </r>
        <r>
          <rPr>
            <sz val="8"/>
            <color indexed="81"/>
            <rFont val="Tahoma"/>
            <family val="2"/>
          </rPr>
          <t xml:space="preserve">
Per Renee…we have to have a figure here.  Albeit arbitrary</t>
        </r>
      </text>
    </comment>
  </commentList>
</comments>
</file>

<file path=xl/comments8.xml><?xml version="1.0" encoding="utf-8"?>
<comments xmlns="http://schemas.openxmlformats.org/spreadsheetml/2006/main">
  <authors>
    <author>Shantel Asante-Kissi</author>
  </authors>
  <commentList>
    <comment ref="C17" authorId="0">
      <text>
        <r>
          <rPr>
            <b/>
            <sz val="8"/>
            <color indexed="81"/>
            <rFont val="Tahoma"/>
            <family val="2"/>
          </rPr>
          <t>Shantel Asante-Kissi:</t>
        </r>
        <r>
          <rPr>
            <sz val="8"/>
            <color indexed="81"/>
            <rFont val="Tahoma"/>
            <family val="2"/>
          </rPr>
          <t xml:space="preserve">
2010 UA</t>
        </r>
      </text>
    </comment>
  </commentList>
</comments>
</file>

<file path=xl/comments9.xml><?xml version="1.0" encoding="utf-8"?>
<comments xmlns="http://schemas.openxmlformats.org/spreadsheetml/2006/main">
  <authors>
    <author>Shantel Asante-Kissi</author>
    <author>John Restrepo</author>
  </authors>
  <commentList>
    <comment ref="C9" authorId="0">
      <text>
        <r>
          <rPr>
            <b/>
            <sz val="8"/>
            <color indexed="81"/>
            <rFont val="Tahoma"/>
            <family val="2"/>
          </rPr>
          <t>Shantel Asante-Kissi:</t>
        </r>
        <r>
          <rPr>
            <sz val="8"/>
            <color indexed="81"/>
            <rFont val="Tahoma"/>
            <family val="2"/>
          </rPr>
          <t xml:space="preserve">
Rent based on 65% rent limit  at $1003 
and utility allowance for 2010 at $161
</t>
        </r>
      </text>
    </comment>
    <comment ref="A23" authorId="0">
      <text>
        <r>
          <rPr>
            <b/>
            <sz val="8"/>
            <color indexed="81"/>
            <rFont val="Tahoma"/>
            <family val="2"/>
          </rPr>
          <t>Shantel Asante-Kissi:</t>
        </r>
        <r>
          <rPr>
            <sz val="8"/>
            <color indexed="81"/>
            <rFont val="Tahoma"/>
            <family val="2"/>
          </rPr>
          <t xml:space="preserve">
Management fee is 3% increments not 4% per Renee</t>
        </r>
      </text>
    </comment>
    <comment ref="A24" authorId="0">
      <text>
        <r>
          <rPr>
            <b/>
            <sz val="8"/>
            <color indexed="81"/>
            <rFont val="Tahoma"/>
            <family val="2"/>
          </rPr>
          <t>Shantel Asante-Kissi:</t>
        </r>
        <r>
          <rPr>
            <sz val="8"/>
            <color indexed="81"/>
            <rFont val="Tahoma"/>
            <family val="2"/>
          </rPr>
          <t xml:space="preserve">
It's $440 per unit, per Renee, it does not trend
</t>
        </r>
      </text>
    </comment>
    <comment ref="C24" authorId="0">
      <text>
        <r>
          <rPr>
            <b/>
            <sz val="8"/>
            <color indexed="81"/>
            <rFont val="Tahoma"/>
            <family val="2"/>
          </rPr>
          <t>Shantel Asante-Kissi:</t>
        </r>
        <r>
          <rPr>
            <sz val="8"/>
            <color indexed="81"/>
            <rFont val="Tahoma"/>
            <family val="2"/>
          </rPr>
          <t xml:space="preserve">
Flat rate, no trending
</t>
        </r>
      </text>
    </comment>
    <comment ref="C34" authorId="1">
      <text>
        <r>
          <rPr>
            <b/>
            <sz val="9"/>
            <color indexed="81"/>
            <rFont val="Tahoma"/>
            <family val="2"/>
          </rPr>
          <t>John Restrepo:</t>
        </r>
        <r>
          <rPr>
            <sz val="9"/>
            <color indexed="81"/>
            <rFont val="Tahoma"/>
            <family val="2"/>
          </rPr>
          <t xml:space="preserve">
confirm these terms is what they are using for rate and amortization period.</t>
        </r>
      </text>
    </comment>
  </commentList>
</comments>
</file>

<file path=xl/sharedStrings.xml><?xml version="1.0" encoding="utf-8"?>
<sst xmlns="http://schemas.openxmlformats.org/spreadsheetml/2006/main" count="790" uniqueCount="416">
  <si>
    <t>Number of Units</t>
  </si>
  <si>
    <t>Acquisition</t>
  </si>
  <si>
    <t>Total Acquisition</t>
  </si>
  <si>
    <t>Development Budget</t>
  </si>
  <si>
    <t>Contingency</t>
  </si>
  <si>
    <t>Total Construction</t>
  </si>
  <si>
    <t>Appraisal</t>
  </si>
  <si>
    <t>Architectural and Engineering</t>
  </si>
  <si>
    <t>Surveys</t>
  </si>
  <si>
    <t xml:space="preserve">Cost Certification </t>
  </si>
  <si>
    <t>Soft Costs</t>
  </si>
  <si>
    <t>Carrying and Financing</t>
  </si>
  <si>
    <t>Title and Recordation</t>
  </si>
  <si>
    <t>Total Carrying and Financing</t>
  </si>
  <si>
    <t>Total Soft Costs</t>
  </si>
  <si>
    <t>Subtotal</t>
  </si>
  <si>
    <t xml:space="preserve">Development Fee </t>
  </si>
  <si>
    <t>Per Unit</t>
  </si>
  <si>
    <t>Per Square Foot</t>
  </si>
  <si>
    <t>Total</t>
  </si>
  <si>
    <t>Household Size</t>
  </si>
  <si>
    <t>Range of Affordability</t>
  </si>
  <si>
    <t>Target Income Maximum</t>
  </si>
  <si>
    <t>Monthly Rent Per Type</t>
  </si>
  <si>
    <t>Total Annual Gross Potential</t>
  </si>
  <si>
    <t>Jersey City Episcopal CDC, Division of Real Estate</t>
  </si>
  <si>
    <t>Operating Budget</t>
  </si>
  <si>
    <t>Income</t>
  </si>
  <si>
    <t>Expenses</t>
  </si>
  <si>
    <t>Year 1</t>
  </si>
  <si>
    <t>Year 2</t>
  </si>
  <si>
    <t>Year 3</t>
  </si>
  <si>
    <t>Vacancy</t>
  </si>
  <si>
    <t>Insurance</t>
  </si>
  <si>
    <t>Replacement Reserve</t>
  </si>
  <si>
    <t>Total Expenses</t>
  </si>
  <si>
    <t>Management Fee</t>
  </si>
  <si>
    <t>Year 4</t>
  </si>
  <si>
    <t>Year 5</t>
  </si>
  <si>
    <t>Year 6</t>
  </si>
  <si>
    <t>Year 7</t>
  </si>
  <si>
    <t>Year 8</t>
  </si>
  <si>
    <t>Year 9</t>
  </si>
  <si>
    <t>Year 10</t>
  </si>
  <si>
    <t>USES OF FUNDS</t>
  </si>
  <si>
    <t>Architect</t>
  </si>
  <si>
    <t>Survey</t>
  </si>
  <si>
    <t>Budget</t>
  </si>
  <si>
    <t>Balance</t>
  </si>
  <si>
    <t>Sources</t>
  </si>
  <si>
    <t>Phase I Environmental and Testing</t>
  </si>
  <si>
    <t xml:space="preserve">Taxes </t>
  </si>
  <si>
    <t>Lot cleaning</t>
  </si>
  <si>
    <t>Utilities after substantial completion</t>
  </si>
  <si>
    <t>Assesment Value</t>
  </si>
  <si>
    <t>City Ratio</t>
  </si>
  <si>
    <t>Annual Taxes</t>
  </si>
  <si>
    <t>Predevelopment and Acquisition  Costs Up to Construction Closing</t>
  </si>
  <si>
    <t>Interest</t>
  </si>
  <si>
    <t>APR</t>
  </si>
  <si>
    <t>Monthly Interest</t>
  </si>
  <si>
    <t>Starting Principal</t>
  </si>
  <si>
    <t>Ending Principal</t>
  </si>
  <si>
    <t>Interst to Date</t>
  </si>
  <si>
    <t>Site Security</t>
  </si>
  <si>
    <t>Marketing</t>
  </si>
  <si>
    <t>Assumptions</t>
  </si>
  <si>
    <t>24 months</t>
  </si>
  <si>
    <t>Debt Service</t>
  </si>
  <si>
    <t>Predevelopment Loan</t>
  </si>
  <si>
    <t>Predevelopment Origination and Application Fee</t>
  </si>
  <si>
    <t>Predevelopment Application Fee</t>
  </si>
  <si>
    <t>NOI</t>
  </si>
  <si>
    <t>Debt Coverage Ratio</t>
  </si>
  <si>
    <t>Cashflow</t>
  </si>
  <si>
    <t>annual</t>
  </si>
  <si>
    <t>monthly</t>
  </si>
  <si>
    <t>Compliance Officer for PILOT</t>
  </si>
  <si>
    <t>242 Bergen Avenue</t>
  </si>
  <si>
    <t>242 Bergen</t>
  </si>
  <si>
    <t>Legal and other closing fees for acquisition, closings w/lenders</t>
  </si>
  <si>
    <t>Utility</t>
  </si>
  <si>
    <t>Unit Size</t>
  </si>
  <si>
    <t>242 Bergen Avenue, Jersey City, NJ</t>
  </si>
  <si>
    <t xml:space="preserve">Utility Allowance </t>
  </si>
  <si>
    <t>Current Tax Assessment</t>
  </si>
  <si>
    <t>Fencing/Security</t>
  </si>
  <si>
    <t>2BR</t>
  </si>
  <si>
    <t>Jersey City, NJ</t>
  </si>
  <si>
    <t>Range/Microwave</t>
  </si>
  <si>
    <t>Refrigerator</t>
  </si>
  <si>
    <t>Air Conditioning</t>
  </si>
  <si>
    <t>Rate</t>
  </si>
  <si>
    <t>Term</t>
  </si>
  <si>
    <t>Net Montly Rent</t>
  </si>
  <si>
    <t>Soft costs Contingency</t>
  </si>
  <si>
    <t xml:space="preserve">Area Median Income </t>
  </si>
  <si>
    <t>Year 11</t>
  </si>
  <si>
    <t>Year 12</t>
  </si>
  <si>
    <t>Year 13</t>
  </si>
  <si>
    <t>Year 14</t>
  </si>
  <si>
    <t>Year 15</t>
  </si>
  <si>
    <t>Unit Type</t>
  </si>
  <si>
    <t>Heating- Natural Gas</t>
  </si>
  <si>
    <t>Other Electricity</t>
  </si>
  <si>
    <t>Housing Ratio</t>
  </si>
  <si>
    <t>Utilities (Common Area Gas, Electric Water and Sewer)</t>
  </si>
  <si>
    <t>Taxes-PILOT</t>
  </si>
  <si>
    <t>Gross Effective Income</t>
  </si>
  <si>
    <t>Rental Expenses</t>
  </si>
  <si>
    <t>Seminars/Training</t>
  </si>
  <si>
    <t>Management Consultants</t>
  </si>
  <si>
    <t>Credit/Criminal Reports</t>
  </si>
  <si>
    <t>Total Rental Expenses</t>
  </si>
  <si>
    <t>Units</t>
  </si>
  <si>
    <t>Annual</t>
  </si>
  <si>
    <t>Adjusted for 12 @ 242 Bergen</t>
  </si>
  <si>
    <t>Admin Expenses</t>
  </si>
  <si>
    <t>Membership Dues</t>
  </si>
  <si>
    <t>Postage</t>
  </si>
  <si>
    <t>Stationary</t>
  </si>
  <si>
    <t>Express Mail</t>
  </si>
  <si>
    <t>Copier/Printing</t>
  </si>
  <si>
    <t>Telephone</t>
  </si>
  <si>
    <t>Internet</t>
  </si>
  <si>
    <t>Paging/Answering</t>
  </si>
  <si>
    <t>Computer Software</t>
  </si>
  <si>
    <t>License Fees and Permits</t>
  </si>
  <si>
    <t>Legal Expense</t>
  </si>
  <si>
    <t>Accounting and Bookeeping</t>
  </si>
  <si>
    <t>Bank Charges</t>
  </si>
  <si>
    <t>Total Admin Expenses</t>
  </si>
  <si>
    <t>Payroll Expense</t>
  </si>
  <si>
    <t>Office Salaries</t>
  </si>
  <si>
    <t>Maintenance Payroll</t>
  </si>
  <si>
    <t>Payroll Prep Fees</t>
  </si>
  <si>
    <t>FICA Taxes</t>
  </si>
  <si>
    <t>401K</t>
  </si>
  <si>
    <t>Workers Comp</t>
  </si>
  <si>
    <t>Disability</t>
  </si>
  <si>
    <t>Health</t>
  </si>
  <si>
    <t>Dental</t>
  </si>
  <si>
    <t>Electric</t>
  </si>
  <si>
    <t>Gas</t>
  </si>
  <si>
    <t>Water/Serwer</t>
  </si>
  <si>
    <t>Total Utility</t>
  </si>
  <si>
    <t>Maintenance and Contracts</t>
  </si>
  <si>
    <t>Janitorial supplies</t>
  </si>
  <si>
    <t>Uniforms</t>
  </si>
  <si>
    <t>Repairs Materials and Supplies</t>
  </si>
  <si>
    <t>Plumbing supplies</t>
  </si>
  <si>
    <t>Hardware</t>
  </si>
  <si>
    <t>Electrical Supplies</t>
  </si>
  <si>
    <t>Security equipment</t>
  </si>
  <si>
    <t>Window Treatments</t>
  </si>
  <si>
    <t>Extermintation</t>
  </si>
  <si>
    <t>Plumbing Contracts</t>
  </si>
  <si>
    <t>Electrical Contracts</t>
  </si>
  <si>
    <t>Security Monitoring Contract</t>
  </si>
  <si>
    <t>HVAC repairs and Maintenance</t>
  </si>
  <si>
    <t>Total Maintenance and Contracts</t>
  </si>
  <si>
    <t>EXPENSE REFERENCE FROM 69 Storms Avenue</t>
  </si>
  <si>
    <t>Painting Contract</t>
  </si>
  <si>
    <t>Snow Removval/Supplies</t>
  </si>
  <si>
    <t>Equipment Repairs</t>
  </si>
  <si>
    <t>Painting supplies</t>
  </si>
  <si>
    <t>Total Housing Units</t>
  </si>
  <si>
    <t>Regular Rate</t>
  </si>
  <si>
    <t>Sales Price</t>
  </si>
  <si>
    <t>Assessment Ratio</t>
  </si>
  <si>
    <t>Assessment Value</t>
  </si>
  <si>
    <t>Annual Tax</t>
  </si>
  <si>
    <t>Insurance (GL And BR)-18 months</t>
  </si>
  <si>
    <t>Real Estate Taxes-18 months</t>
  </si>
  <si>
    <t>Development Fee and Escrows</t>
  </si>
  <si>
    <t>CSH Predevelopment Commitment Fee</t>
  </si>
  <si>
    <t>CSH Predevelopment Application Fee</t>
  </si>
  <si>
    <t>CSH Predevelopment Interest Reserve</t>
  </si>
  <si>
    <t>Revised</t>
  </si>
  <si>
    <t>Construction Sources of Financing</t>
  </si>
  <si>
    <t xml:space="preserve">Maintenance and Repairs- </t>
  </si>
  <si>
    <t>Admin Expense</t>
  </si>
  <si>
    <t>Salaries and Related</t>
  </si>
  <si>
    <t>Maintenance Contracts</t>
  </si>
  <si>
    <t>Apartment Rents</t>
  </si>
  <si>
    <t>Net Apt. Rents</t>
  </si>
  <si>
    <t>Rental Subsidy</t>
  </si>
  <si>
    <t>Vacant on Rental Subsidy</t>
  </si>
  <si>
    <t>Net on Rental Subsidy</t>
  </si>
  <si>
    <t>Net Residential</t>
  </si>
  <si>
    <t>Other Income: Laundry Machines</t>
  </si>
  <si>
    <t>Construction</t>
  </si>
  <si>
    <t>Debt Project Can Support</t>
  </si>
  <si>
    <t>Fire Suppression System</t>
  </si>
  <si>
    <t>rh</t>
  </si>
  <si>
    <t>Debt Service (Principal and Interest)</t>
  </si>
  <si>
    <t>Net cashflow after mortgage payment (Deferred Developer Fee)</t>
  </si>
  <si>
    <t>ODEA</t>
  </si>
  <si>
    <t>Payment from Cashflow toward mortgage- 25% SNTF and 25% Small Rental</t>
  </si>
  <si>
    <t>HMFA Max Loan (7.07% of Total Cost)</t>
  </si>
  <si>
    <t>use this</t>
  </si>
  <si>
    <t>this is only a max</t>
  </si>
  <si>
    <t>projections</t>
  </si>
  <si>
    <t>Actual</t>
  </si>
  <si>
    <t>Bergen Court</t>
  </si>
  <si>
    <t>Notes</t>
  </si>
  <si>
    <t>Total Rental Subject to PILOT</t>
  </si>
  <si>
    <t>Sp. Nds. HTF Escrow for Annual Espenses</t>
  </si>
  <si>
    <t>Beginning Reserve Balance</t>
  </si>
  <si>
    <t xml:space="preserve">Interest Income </t>
  </si>
  <si>
    <t>Less Neg. Cash Flow</t>
  </si>
  <si>
    <t>Ending Reserve Balance</t>
  </si>
  <si>
    <t>We can support this</t>
  </si>
  <si>
    <t>HMFA using</t>
  </si>
  <si>
    <t>Target Income Minimum</t>
  </si>
  <si>
    <t>Unit Mix</t>
  </si>
  <si>
    <t>Size</t>
  </si>
  <si>
    <t>Total Square Footage</t>
  </si>
  <si>
    <t>Common Space</t>
  </si>
  <si>
    <t>Total Square Footgage</t>
  </si>
  <si>
    <t xml:space="preserve">Confirm $130 SF </t>
  </si>
  <si>
    <t>For acquisition and construction/permanent financing</t>
  </si>
  <si>
    <t>Confirm amount with Bayonne</t>
  </si>
  <si>
    <t>Tax Exempt at this point, not sure if exempt with changed use</t>
  </si>
  <si>
    <t>Post Certificate of Occupancy- during lease up</t>
  </si>
  <si>
    <t>Construction Loan Finance Fees (Planning, Environmental Review and Lender Legal Costs)</t>
  </si>
  <si>
    <t>Check with Bayonne MUA</t>
  </si>
  <si>
    <t>Initial Marketing for 8 units, Property Management helps with this</t>
  </si>
  <si>
    <t>Unknown at this point, if even applicable</t>
  </si>
  <si>
    <t>Construction/Permanent Loan Commitment Fees</t>
  </si>
  <si>
    <t>Working Capital- 3 months operations</t>
  </si>
  <si>
    <t>Permanent Sources of Financing</t>
  </si>
  <si>
    <t>Total Square Gross Square Feet</t>
  </si>
  <si>
    <t>Total Permanent Sources</t>
  </si>
  <si>
    <t>Acquisition Credit</t>
  </si>
  <si>
    <t>Not Sure if Required by Bayonne</t>
  </si>
  <si>
    <t>Phase I Environmental/Tank Sweep</t>
  </si>
  <si>
    <t>Verify if needed, depends on the area</t>
  </si>
  <si>
    <t>Fencing and Clean up</t>
  </si>
  <si>
    <t>Geotechnical Study</t>
  </si>
  <si>
    <t>UTILITY ALLOWANCES</t>
  </si>
  <si>
    <t>Cooking- Natural Gas</t>
  </si>
  <si>
    <t>Water Heating- Natural Gas</t>
  </si>
  <si>
    <t>Gross Annual Rent</t>
  </si>
  <si>
    <t>Gross Potential Income</t>
  </si>
  <si>
    <t>Number of Floors</t>
  </si>
  <si>
    <t>MORTGAGE CALCULATION</t>
  </si>
  <si>
    <t>Monthly</t>
  </si>
  <si>
    <t>Interest Reserve - Predevelopment</t>
  </si>
  <si>
    <t>Interest Reserve- Construction</t>
  </si>
  <si>
    <t>Predevelopment Legal, Commitment Fees</t>
  </si>
  <si>
    <t>Unit Mix/Project Size</t>
  </si>
  <si>
    <t>Rent Roll</t>
  </si>
  <si>
    <t>LIHTC Analysis</t>
  </si>
  <si>
    <t>REHAB CREDIT</t>
  </si>
  <si>
    <t>ACQ CREDIT</t>
  </si>
  <si>
    <t>Ineligible Costs:</t>
  </si>
  <si>
    <t>Acquistion</t>
  </si>
  <si>
    <t xml:space="preserve">Legal: </t>
  </si>
  <si>
    <t>-</t>
  </si>
  <si>
    <t>Accounting/Syndication Audit</t>
  </si>
  <si>
    <t>AHMS</t>
  </si>
  <si>
    <t>Operatting Escrow</t>
  </si>
  <si>
    <t>Syndication Expenses</t>
  </si>
  <si>
    <t>Working Capital Reserve</t>
  </si>
  <si>
    <t>Commercial Space</t>
  </si>
  <si>
    <t>Monitoring Fees</t>
  </si>
  <si>
    <t>Subtotal Ineligible Costs</t>
  </si>
  <si>
    <t>Lesser of Total or Limit</t>
  </si>
  <si>
    <t>Percentage of Units Low-Income</t>
  </si>
  <si>
    <t>*</t>
  </si>
  <si>
    <t>Subtotal Qualified Basis</t>
  </si>
  <si>
    <t>Difficult to Develop Census Tract</t>
  </si>
  <si>
    <t>Qualified Basis:</t>
  </si>
  <si>
    <t>Tax Credit Rate</t>
  </si>
  <si>
    <t>Tax Credit period (years)</t>
  </si>
  <si>
    <t>Aggregate amount of Tax Credits</t>
  </si>
  <si>
    <t>NET TAX CREDIT EQUITY TO PROJECT</t>
  </si>
  <si>
    <t>As of 3/13</t>
  </si>
  <si>
    <t xml:space="preserve">Number of Years </t>
  </si>
  <si>
    <t>Value of Credits to Project</t>
  </si>
  <si>
    <t>Investor Rate</t>
  </si>
  <si>
    <t>Qualified Basis</t>
  </si>
  <si>
    <t>Eligible Basis</t>
  </si>
  <si>
    <t>Annual Tax Credit</t>
  </si>
  <si>
    <t>Total Amount Qualified</t>
  </si>
  <si>
    <t>Construction Loan- NJ Community Capital</t>
  </si>
  <si>
    <t>Type</t>
  </si>
  <si>
    <t>Family</t>
  </si>
  <si>
    <t>Predevelopment Costs</t>
  </si>
  <si>
    <t>Fund from HOME or Bayonne Trust Funds</t>
  </si>
  <si>
    <t>CHDO Pred. Loan</t>
  </si>
  <si>
    <t>Loan NJCC or CSH</t>
  </si>
  <si>
    <t>Interest Reserve</t>
  </si>
  <si>
    <t>Sewer Ejector Pump</t>
  </si>
  <si>
    <t>Appraisal &amp; Market Study- Acquisition/Construction Loan</t>
  </si>
  <si>
    <t>Fees</t>
  </si>
  <si>
    <t>474/80 Ocean Avenue</t>
  </si>
  <si>
    <t xml:space="preserve">New Construction, General Requirements, and Contractor Overhead- </t>
  </si>
  <si>
    <t>Mortgage</t>
  </si>
  <si>
    <t>474 Ocean Avenue</t>
  </si>
  <si>
    <t>Lot Size</t>
  </si>
  <si>
    <t>Max Building Coverage</t>
  </si>
  <si>
    <t>Max Density</t>
  </si>
  <si>
    <t>Max Height</t>
  </si>
  <si>
    <t>stories.</t>
  </si>
  <si>
    <t>per 1 unit</t>
  </si>
  <si>
    <t>480 Ocean</t>
  </si>
  <si>
    <t>stories</t>
  </si>
  <si>
    <t>Neighborhood Enhancement Program</t>
  </si>
  <si>
    <t>LOW</t>
  </si>
  <si>
    <t>MODERATE</t>
  </si>
  <si>
    <t>HOME REN</t>
  </si>
  <si>
    <t>Reserves</t>
  </si>
  <si>
    <t>Construction Loan</t>
  </si>
  <si>
    <t>Total Construction Sources of Financing</t>
  </si>
  <si>
    <t>UST Removals</t>
  </si>
  <si>
    <t>NRTC Funds</t>
  </si>
  <si>
    <t>Demolition- by JCRA</t>
  </si>
  <si>
    <t>Residential Square Footage</t>
  </si>
  <si>
    <t>Common Area</t>
  </si>
  <si>
    <t>Total SF</t>
  </si>
  <si>
    <t>Floor 1</t>
  </si>
  <si>
    <t>2 Bedroom</t>
  </si>
  <si>
    <t>Floor 2</t>
  </si>
  <si>
    <t>Floor 3</t>
  </si>
  <si>
    <t>Predevelopment</t>
  </si>
  <si>
    <t>Demolition, Asbestos Removal, Gut Rehab- General Requirements, and Contractor Overhead</t>
  </si>
  <si>
    <t>Neighborhood Enhancement Program- 2 Bedrooms</t>
  </si>
  <si>
    <t>Jersey City HOME/AHTF</t>
  </si>
  <si>
    <t>2 BR LOW</t>
  </si>
  <si>
    <t>3BR</t>
  </si>
  <si>
    <t>`</t>
  </si>
  <si>
    <t>3 BR</t>
  </si>
  <si>
    <t>Total Development costs</t>
  </si>
  <si>
    <t>Ocean</t>
  </si>
  <si>
    <t>Bidwell</t>
  </si>
  <si>
    <t>NRTC</t>
  </si>
  <si>
    <t>OTHER</t>
  </si>
  <si>
    <t>Cost of Land</t>
  </si>
  <si>
    <t>SF</t>
  </si>
  <si>
    <t>Line Item Description</t>
  </si>
  <si>
    <t>Line Item Justification</t>
  </si>
  <si>
    <t>Cost of new construction, multifamily in region</t>
  </si>
  <si>
    <t>Existing condition.</t>
  </si>
  <si>
    <t>Required by building code</t>
  </si>
  <si>
    <t>Security pre construction</t>
  </si>
  <si>
    <t>5% of construction, new</t>
  </si>
  <si>
    <t>Appraisal for acquisition and financing</t>
  </si>
  <si>
    <t>3% of construction costs</t>
  </si>
  <si>
    <t>Marketing for lease up</t>
  </si>
  <si>
    <t>Legal Fees</t>
  </si>
  <si>
    <t xml:space="preserve"> Predevelopment financing, planning board approval, acquisition, construction/permanent financing, and tax abatement</t>
  </si>
  <si>
    <t>Required, cost of 2 sites.</t>
  </si>
  <si>
    <t>Required for foundation design</t>
  </si>
  <si>
    <t>Required by funders</t>
  </si>
  <si>
    <t>Typical 5% of soft costs</t>
  </si>
  <si>
    <t>8%of acquisition and predevelopment costs</t>
  </si>
  <si>
    <t>8% on construction principal</t>
  </si>
  <si>
    <t>Required for closing on funds</t>
  </si>
  <si>
    <t>Required for planning approval</t>
  </si>
  <si>
    <t>Post construction/Pre lease security</t>
  </si>
  <si>
    <t>Cost of taxes during construction</t>
  </si>
  <si>
    <t>Required for tax abatement to monitor WBE/MBE</t>
  </si>
  <si>
    <t>Cost of utilities post completion/prelease</t>
  </si>
  <si>
    <t>Cost of builders risk and general liability insurance</t>
  </si>
  <si>
    <t>Typical cost for financing</t>
  </si>
  <si>
    <t>10% of total cost</t>
  </si>
  <si>
    <t>3 months of operations.</t>
  </si>
  <si>
    <t xml:space="preserve">Working Capital- </t>
  </si>
  <si>
    <t>discounted acquisition cost from JCRA</t>
  </si>
  <si>
    <t>Amount of existing mortgage, must verify that it will appraise at this figure and that there is an arms length transaction</t>
  </si>
  <si>
    <t>Utility Connection Fees/ Building Permits</t>
  </si>
  <si>
    <t>JCMUA/Passaic Valley, Building Dept.</t>
  </si>
  <si>
    <t>Planning Board Application Fees</t>
  </si>
  <si>
    <t>Typical cost for acquisition title insurance</t>
  </si>
  <si>
    <t>Total Development Costs</t>
  </si>
  <si>
    <t>Cost of private purchase</t>
  </si>
  <si>
    <t>Typical cost, gut rehab</t>
  </si>
  <si>
    <t>required by code</t>
  </si>
  <si>
    <t>typical cost JCMUA, Passaic Valley and Building</t>
  </si>
  <si>
    <t>Site condition to be removed</t>
  </si>
  <si>
    <t>Security preconstruction</t>
  </si>
  <si>
    <t>10% on rehab, typical</t>
  </si>
  <si>
    <t>for predevelopment and permanent financing</t>
  </si>
  <si>
    <t>3% of construction</t>
  </si>
  <si>
    <t xml:space="preserve">Legal Fees </t>
  </si>
  <si>
    <t>Predevelopment financing, planning board approval, acquisition, construction/permanent financing, and tax abatement.</t>
  </si>
  <si>
    <t>Needed for architectural design</t>
  </si>
  <si>
    <t>Funder requirement</t>
  </si>
  <si>
    <t>Interest on construction financing</t>
  </si>
  <si>
    <t>Interest on predevelopment and acquisition</t>
  </si>
  <si>
    <t>Required for financing closing</t>
  </si>
  <si>
    <t>Require for planning approval</t>
  </si>
  <si>
    <t>Site security post construction/prelease</t>
  </si>
  <si>
    <t>Taxes during development/construction</t>
  </si>
  <si>
    <t>Required for tax abatement</t>
  </si>
  <si>
    <t>Utilities post construction/prelease</t>
  </si>
  <si>
    <t>cost of builders risk and general liability</t>
  </si>
  <si>
    <t>cost of title insurance for acquisition</t>
  </si>
  <si>
    <t>Typical financing cost</t>
  </si>
  <si>
    <t>3 months operations</t>
  </si>
  <si>
    <t>Utility Connection Fees/Building Permits</t>
  </si>
  <si>
    <t>Developer Fee</t>
  </si>
  <si>
    <t>Working Capital</t>
  </si>
  <si>
    <t>3 Bedroom-Family-474 Ocean</t>
  </si>
  <si>
    <t>3 Bedroom-Family- 480 Ocean</t>
  </si>
  <si>
    <t>77 Bostwick Avenue</t>
  </si>
  <si>
    <t>Debris Removal</t>
  </si>
  <si>
    <t>predevelopment</t>
  </si>
  <si>
    <t>NEP</t>
  </si>
  <si>
    <t>CITY</t>
  </si>
  <si>
    <t>MORTGAGE</t>
  </si>
  <si>
    <t>BOST</t>
  </si>
  <si>
    <t>OCEAN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</si>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</sst>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%"/>
    <numFmt numFmtId="166" formatCode="_(&quot;$&quot;* #,##0.000_);_(&quot;$&quot;* \(#,##0.000\);_(&quot;$&quot;* &quot;-&quot;???_);_(@_)"/>
    <numFmt numFmtId="167" formatCode="General_)"/>
    <numFmt numFmtId="168" formatCode="0.0%"/>
  </numFmts>
  <fonts count="4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10"/>
      <name val="Arial"/>
      <family val="2"/>
    </font>
    <font>
      <sz val="18"/>
      <name val="Arial"/>
      <family val="2"/>
    </font>
    <font>
      <sz val="18"/>
      <name val="Palatino Linotype"/>
      <family val="1"/>
    </font>
    <font>
      <b/>
      <sz val="12"/>
      <name val="Palatino Linotype"/>
      <family val="1"/>
    </font>
    <font>
      <sz val="10"/>
      <name val="Palatino Linotype"/>
      <family val="1"/>
    </font>
    <font>
      <sz val="12"/>
      <name val="Palatino Linotype"/>
      <family val="1"/>
    </font>
    <font>
      <b/>
      <sz val="14"/>
      <name val="Palatino Linotype"/>
      <family val="1"/>
    </font>
    <font>
      <sz val="12"/>
      <name val="Arial"/>
      <family val="2"/>
    </font>
    <font>
      <b/>
      <u/>
      <sz val="12"/>
      <name val="Palatino Linotype"/>
      <family val="1"/>
    </font>
    <font>
      <b/>
      <sz val="12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8"/>
      <color theme="1"/>
      <name val="Arial"/>
      <family val="2"/>
    </font>
    <font>
      <sz val="14"/>
      <name val="Arial"/>
      <family val="2"/>
    </font>
    <font>
      <u/>
      <sz val="10"/>
      <name val="Arial"/>
      <family val="2"/>
    </font>
    <font>
      <b/>
      <sz val="14"/>
      <name val="Garamond"/>
      <family val="1"/>
    </font>
    <font>
      <sz val="14"/>
      <name val="Garamond"/>
      <family val="1"/>
    </font>
    <font>
      <sz val="11"/>
      <name val="Garamond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u/>
      <sz val="11"/>
      <color indexed="9"/>
      <name val="Garamond"/>
      <family val="1"/>
    </font>
    <font>
      <b/>
      <sz val="11"/>
      <color indexed="9"/>
      <name val="Garamond"/>
      <family val="1"/>
    </font>
    <font>
      <sz val="11"/>
      <color indexed="9"/>
      <name val="Garamond"/>
      <family val="1"/>
    </font>
    <font>
      <sz val="10"/>
      <color indexed="9"/>
      <name val="Arial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8"/>
      <color rgb="FFFF0000"/>
      <name val="Arial"/>
      <family val="2"/>
    </font>
    <font>
      <sz val="8"/>
      <color theme="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5" fontId="1" fillId="0" borderId="0" applyNumberFormat="0" applyAlignment="0"/>
    <xf numFmtId="9" fontId="1" fillId="0" borderId="0" applyFont="0" applyFill="0" applyBorder="0" applyAlignment="0" applyProtection="0"/>
  </cellStyleXfs>
  <cellXfs count="365">
    <xf numFmtId="0" fontId="0" fillId="0" borderId="0" xfId="0"/>
    <xf numFmtId="0" fontId="2" fillId="0" borderId="0" xfId="0" applyFont="1"/>
    <xf numFmtId="0" fontId="6" fillId="0" borderId="0" xfId="0" applyFont="1"/>
    <xf numFmtId="0" fontId="8" fillId="0" borderId="0" xfId="0" applyFont="1"/>
    <xf numFmtId="0" fontId="9" fillId="0" borderId="0" xfId="0" applyFont="1"/>
    <xf numFmtId="0" fontId="10" fillId="2" borderId="1" xfId="0" applyFont="1" applyFill="1" applyBorder="1" applyAlignment="1">
      <alignment wrapText="1"/>
    </xf>
    <xf numFmtId="0" fontId="10" fillId="2" borderId="1" xfId="0" applyFont="1" applyFill="1" applyBorder="1"/>
    <xf numFmtId="0" fontId="11" fillId="0" borderId="0" xfId="0" applyFont="1"/>
    <xf numFmtId="0" fontId="12" fillId="0" borderId="1" xfId="0" applyFont="1" applyFill="1" applyBorder="1" applyAlignment="1">
      <alignment wrapText="1"/>
    </xf>
    <xf numFmtId="44" fontId="12" fillId="0" borderId="1" xfId="1" applyFont="1" applyFill="1" applyBorder="1" applyAlignment="1">
      <alignment horizontal="center"/>
    </xf>
    <xf numFmtId="0" fontId="10" fillId="0" borderId="1" xfId="0" applyFont="1" applyFill="1" applyBorder="1" applyAlignment="1">
      <alignment wrapText="1"/>
    </xf>
    <xf numFmtId="44" fontId="10" fillId="0" borderId="1" xfId="1" applyFont="1" applyFill="1" applyBorder="1" applyAlignment="1">
      <alignment horizontal="right"/>
    </xf>
    <xf numFmtId="0" fontId="12" fillId="0" borderId="0" xfId="0" applyFont="1"/>
    <xf numFmtId="44" fontId="12" fillId="0" borderId="0" xfId="0" applyNumberFormat="1" applyFont="1"/>
    <xf numFmtId="0" fontId="13" fillId="0" borderId="0" xfId="0" applyFont="1"/>
    <xf numFmtId="0" fontId="13" fillId="0" borderId="2" xfId="0" applyFont="1" applyBorder="1"/>
    <xf numFmtId="0" fontId="9" fillId="0" borderId="2" xfId="0" applyFont="1" applyBorder="1"/>
    <xf numFmtId="0" fontId="14" fillId="0" borderId="0" xfId="0" applyFont="1"/>
    <xf numFmtId="0" fontId="10" fillId="0" borderId="0" xfId="0" applyFont="1"/>
    <xf numFmtId="0" fontId="15" fillId="0" borderId="0" xfId="0" applyFont="1"/>
    <xf numFmtId="44" fontId="12" fillId="0" borderId="0" xfId="1" applyFont="1"/>
    <xf numFmtId="0" fontId="10" fillId="0" borderId="0" xfId="0" applyFont="1" applyAlignment="1">
      <alignment wrapText="1"/>
    </xf>
    <xf numFmtId="44" fontId="10" fillId="0" borderId="0" xfId="1" applyFont="1"/>
    <xf numFmtId="0" fontId="10" fillId="2" borderId="3" xfId="0" applyFont="1" applyFill="1" applyBorder="1" applyAlignment="1">
      <alignment horizontal="center"/>
    </xf>
    <xf numFmtId="0" fontId="10" fillId="2" borderId="3" xfId="0" applyFont="1" applyFill="1" applyBorder="1"/>
    <xf numFmtId="0" fontId="16" fillId="0" borderId="0" xfId="0" applyFont="1"/>
    <xf numFmtId="5" fontId="17" fillId="0" borderId="0" xfId="2" applyFont="1"/>
    <xf numFmtId="5" fontId="1" fillId="0" borderId="0" xfId="2" applyFont="1"/>
    <xf numFmtId="5" fontId="18" fillId="0" borderId="0" xfId="2" applyFont="1"/>
    <xf numFmtId="10" fontId="1" fillId="0" borderId="0" xfId="3" applyNumberFormat="1" applyFont="1"/>
    <xf numFmtId="5" fontId="1" fillId="0" borderId="0" xfId="2"/>
    <xf numFmtId="0" fontId="13" fillId="0" borderId="0" xfId="0" applyFont="1" applyBorder="1"/>
    <xf numFmtId="0" fontId="12" fillId="0" borderId="0" xfId="0" applyFont="1" applyBorder="1"/>
    <xf numFmtId="0" fontId="12" fillId="0" borderId="2" xfId="0" applyFont="1" applyBorder="1"/>
    <xf numFmtId="44" fontId="12" fillId="0" borderId="1" xfId="1" applyFont="1" applyFill="1" applyBorder="1"/>
    <xf numFmtId="44" fontId="12" fillId="0" borderId="1" xfId="0" applyNumberFormat="1" applyFont="1" applyFill="1" applyBorder="1"/>
    <xf numFmtId="7" fontId="0" fillId="0" borderId="0" xfId="0" applyNumberFormat="1"/>
    <xf numFmtId="17" fontId="14" fillId="0" borderId="1" xfId="0" applyNumberFormat="1" applyFont="1" applyBorder="1"/>
    <xf numFmtId="166" fontId="14" fillId="0" borderId="1" xfId="0" applyNumberFormat="1" applyFont="1" applyBorder="1"/>
    <xf numFmtId="5" fontId="7" fillId="0" borderId="0" xfId="2" applyFont="1"/>
    <xf numFmtId="0" fontId="8" fillId="0" borderId="0" xfId="0" applyFont="1" applyFill="1"/>
    <xf numFmtId="0" fontId="14" fillId="0" borderId="0" xfId="0" applyFont="1" applyFill="1"/>
    <xf numFmtId="10" fontId="14" fillId="0" borderId="0" xfId="3" applyNumberFormat="1" applyFont="1" applyFill="1"/>
    <xf numFmtId="165" fontId="14" fillId="0" borderId="0" xfId="3" applyNumberFormat="1" applyFont="1" applyFill="1"/>
    <xf numFmtId="17" fontId="14" fillId="0" borderId="1" xfId="0" applyNumberFormat="1" applyFont="1" applyFill="1" applyBorder="1"/>
    <xf numFmtId="44" fontId="14" fillId="0" borderId="1" xfId="0" applyNumberFormat="1" applyFont="1" applyFill="1" applyBorder="1"/>
    <xf numFmtId="166" fontId="14" fillId="0" borderId="1" xfId="0" applyNumberFormat="1" applyFont="1" applyFill="1" applyBorder="1"/>
    <xf numFmtId="44" fontId="14" fillId="0" borderId="0" xfId="0" applyNumberFormat="1" applyFont="1" applyFill="1"/>
    <xf numFmtId="44" fontId="16" fillId="0" borderId="0" xfId="0" applyNumberFormat="1" applyFont="1" applyFill="1"/>
    <xf numFmtId="0" fontId="16" fillId="0" borderId="0" xfId="0" applyFont="1" applyFill="1"/>
    <xf numFmtId="0" fontId="0" fillId="0" borderId="0" xfId="0" applyFill="1"/>
    <xf numFmtId="44" fontId="12" fillId="0" borderId="1" xfId="1" applyNumberFormat="1" applyFont="1" applyFill="1" applyBorder="1" applyAlignment="1">
      <alignment horizontal="center"/>
    </xf>
    <xf numFmtId="0" fontId="1" fillId="0" borderId="0" xfId="0" applyFont="1"/>
    <xf numFmtId="5" fontId="18" fillId="0" borderId="0" xfId="2" applyFont="1" applyBorder="1"/>
    <xf numFmtId="10" fontId="18" fillId="0" borderId="0" xfId="2" applyNumberFormat="1" applyFont="1" applyBorder="1"/>
    <xf numFmtId="0" fontId="1" fillId="0" borderId="0" xfId="0" applyFont="1" applyFill="1"/>
    <xf numFmtId="44" fontId="1" fillId="0" borderId="0" xfId="1" applyFont="1" applyFill="1"/>
    <xf numFmtId="44" fontId="2" fillId="0" borderId="0" xfId="1" applyFont="1" applyFill="1"/>
    <xf numFmtId="0" fontId="19" fillId="0" borderId="0" xfId="0" applyFont="1"/>
    <xf numFmtId="0" fontId="1" fillId="0" borderId="0" xfId="0" applyFont="1" applyBorder="1"/>
    <xf numFmtId="9" fontId="1" fillId="0" borderId="0" xfId="0" applyNumberFormat="1" applyFont="1" applyFill="1"/>
    <xf numFmtId="44" fontId="1" fillId="0" borderId="0" xfId="0" applyNumberFormat="1" applyFont="1" applyFill="1"/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44" fontId="1" fillId="0" borderId="0" xfId="0" applyNumberFormat="1" applyFont="1" applyFill="1" applyAlignment="1">
      <alignment horizontal="left"/>
    </xf>
    <xf numFmtId="9" fontId="1" fillId="0" borderId="0" xfId="0" applyNumberFormat="1" applyFont="1"/>
    <xf numFmtId="0" fontId="1" fillId="0" borderId="0" xfId="0" applyFont="1" applyFill="1" applyAlignment="1">
      <alignment wrapText="1"/>
    </xf>
    <xf numFmtId="44" fontId="2" fillId="0" borderId="0" xfId="1" applyFont="1"/>
    <xf numFmtId="10" fontId="1" fillId="0" borderId="0" xfId="3" applyNumberFormat="1" applyFont="1" applyFill="1"/>
    <xf numFmtId="5" fontId="1" fillId="0" borderId="0" xfId="0" applyNumberFormat="1" applyFont="1" applyFill="1"/>
    <xf numFmtId="7" fontId="1" fillId="0" borderId="0" xfId="0" applyNumberFormat="1" applyFont="1" applyFill="1"/>
    <xf numFmtId="8" fontId="2" fillId="0" borderId="0" xfId="0" applyNumberFormat="1" applyFont="1" applyFill="1"/>
    <xf numFmtId="8" fontId="1" fillId="0" borderId="0" xfId="0" applyNumberFormat="1" applyFont="1" applyFill="1"/>
    <xf numFmtId="44" fontId="1" fillId="0" borderId="0" xfId="1" applyFont="1" applyFill="1" applyAlignment="1">
      <alignment horizontal="left"/>
    </xf>
    <xf numFmtId="44" fontId="1" fillId="0" borderId="0" xfId="1" applyFont="1"/>
    <xf numFmtId="44" fontId="0" fillId="0" borderId="0" xfId="1" applyFont="1"/>
    <xf numFmtId="0" fontId="2" fillId="0" borderId="0" xfId="0" applyFont="1" applyBorder="1"/>
    <xf numFmtId="0" fontId="2" fillId="3" borderId="0" xfId="0" applyFont="1" applyFill="1" applyBorder="1"/>
    <xf numFmtId="44" fontId="0" fillId="0" borderId="0" xfId="0" applyNumberFormat="1" applyBorder="1"/>
    <xf numFmtId="44" fontId="2" fillId="0" borderId="0" xfId="0" applyNumberFormat="1" applyFont="1" applyBorder="1"/>
    <xf numFmtId="0" fontId="0" fillId="0" borderId="0" xfId="0" applyBorder="1"/>
    <xf numFmtId="0" fontId="2" fillId="3" borderId="4" xfId="0" applyFont="1" applyFill="1" applyBorder="1"/>
    <xf numFmtId="0" fontId="2" fillId="0" borderId="4" xfId="0" applyFont="1" applyBorder="1"/>
    <xf numFmtId="44" fontId="0" fillId="0" borderId="4" xfId="1" applyFont="1" applyBorder="1"/>
    <xf numFmtId="44" fontId="2" fillId="0" borderId="4" xfId="1" applyFont="1" applyBorder="1"/>
    <xf numFmtId="44" fontId="2" fillId="0" borderId="0" xfId="1" quotePrefix="1" applyFont="1"/>
    <xf numFmtId="42" fontId="1" fillId="0" borderId="0" xfId="0" applyNumberFormat="1" applyFont="1" applyFill="1"/>
    <xf numFmtId="5" fontId="1" fillId="0" borderId="0" xfId="2" applyFont="1" applyFill="1" applyAlignment="1">
      <alignment horizontal="left"/>
    </xf>
    <xf numFmtId="167" fontId="3" fillId="0" borderId="0" xfId="0" applyNumberFormat="1" applyFont="1" applyFill="1"/>
    <xf numFmtId="5" fontId="2" fillId="0" borderId="0" xfId="2" applyFont="1" applyFill="1" applyAlignment="1">
      <alignment horizontal="left"/>
    </xf>
    <xf numFmtId="167" fontId="20" fillId="0" borderId="0" xfId="0" applyNumberFormat="1" applyFont="1" applyFill="1"/>
    <xf numFmtId="5" fontId="1" fillId="0" borderId="0" xfId="2" applyFont="1" applyFill="1"/>
    <xf numFmtId="167" fontId="1" fillId="0" borderId="0" xfId="0" applyNumberFormat="1" applyFont="1" applyFill="1"/>
    <xf numFmtId="167" fontId="21" fillId="4" borderId="0" xfId="0" applyNumberFormat="1" applyFont="1" applyFill="1"/>
    <xf numFmtId="167" fontId="22" fillId="0" borderId="0" xfId="0" applyNumberFormat="1" applyFont="1"/>
    <xf numFmtId="44" fontId="22" fillId="0" borderId="0" xfId="1" applyFont="1"/>
    <xf numFmtId="9" fontId="22" fillId="0" borderId="0" xfId="3" applyFont="1"/>
    <xf numFmtId="10" fontId="22" fillId="0" borderId="0" xfId="3" applyNumberFormat="1" applyFont="1"/>
    <xf numFmtId="167" fontId="21" fillId="0" borderId="0" xfId="0" applyNumberFormat="1" applyFont="1"/>
    <xf numFmtId="44" fontId="21" fillId="0" borderId="0" xfId="1" applyFont="1"/>
    <xf numFmtId="10" fontId="1" fillId="0" borderId="0" xfId="0" applyNumberFormat="1" applyFont="1" applyFill="1"/>
    <xf numFmtId="9" fontId="3" fillId="0" borderId="0" xfId="3" applyFont="1" applyFill="1"/>
    <xf numFmtId="3" fontId="1" fillId="0" borderId="0" xfId="0" applyNumberFormat="1" applyFont="1"/>
    <xf numFmtId="44" fontId="24" fillId="0" borderId="0" xfId="0" applyNumberFormat="1" applyFont="1" applyFill="1"/>
    <xf numFmtId="44" fontId="25" fillId="6" borderId="0" xfId="0" applyNumberFormat="1" applyFont="1" applyFill="1"/>
    <xf numFmtId="44" fontId="1" fillId="6" borderId="0" xfId="1" applyFont="1" applyFill="1"/>
    <xf numFmtId="44" fontId="2" fillId="0" borderId="0" xfId="0" applyNumberFormat="1" applyFont="1" applyFill="1"/>
    <xf numFmtId="0" fontId="25" fillId="0" borderId="0" xfId="0" applyFont="1" applyFill="1"/>
    <xf numFmtId="44" fontId="25" fillId="0" borderId="0" xfId="0" applyNumberFormat="1" applyFont="1" applyFill="1"/>
    <xf numFmtId="5" fontId="2" fillId="0" borderId="0" xfId="2" applyFont="1" applyFill="1" applyAlignment="1">
      <alignment horizontal="left" wrapText="1"/>
    </xf>
    <xf numFmtId="44" fontId="24" fillId="0" borderId="0" xfId="0" applyNumberFormat="1" applyFont="1" applyFill="1" applyAlignment="1">
      <alignment wrapText="1"/>
    </xf>
    <xf numFmtId="44" fontId="2" fillId="0" borderId="5" xfId="1" applyFont="1" applyFill="1" applyBorder="1"/>
    <xf numFmtId="44" fontId="1" fillId="0" borderId="5" xfId="1" applyFont="1" applyFill="1" applyBorder="1"/>
    <xf numFmtId="0" fontId="1" fillId="0" borderId="0" xfId="2" applyNumberFormat="1" applyFont="1" applyFill="1" applyAlignment="1">
      <alignment horizontal="left"/>
    </xf>
    <xf numFmtId="0" fontId="3" fillId="0" borderId="0" xfId="0" applyNumberFormat="1" applyFont="1" applyFill="1"/>
    <xf numFmtId="2" fontId="1" fillId="0" borderId="0" xfId="1" applyNumberFormat="1" applyFont="1" applyFill="1"/>
    <xf numFmtId="5" fontId="1" fillId="0" borderId="0" xfId="2" applyFont="1" applyFill="1" applyAlignment="1">
      <alignment horizontal="left" wrapText="1"/>
    </xf>
    <xf numFmtId="0" fontId="24" fillId="7" borderId="0" xfId="0" applyFont="1" applyFill="1"/>
    <xf numFmtId="0" fontId="1" fillId="7" borderId="0" xfId="0" applyFont="1" applyFill="1"/>
    <xf numFmtId="44" fontId="1" fillId="7" borderId="0" xfId="0" applyNumberFormat="1" applyFont="1" applyFill="1"/>
    <xf numFmtId="10" fontId="1" fillId="7" borderId="0" xfId="0" applyNumberFormat="1" applyFont="1" applyFill="1"/>
    <xf numFmtId="8" fontId="1" fillId="7" borderId="5" xfId="0" applyNumberFormat="1" applyFont="1" applyFill="1" applyBorder="1"/>
    <xf numFmtId="0" fontId="25" fillId="6" borderId="0" xfId="0" applyFont="1" applyFill="1"/>
    <xf numFmtId="44" fontId="2" fillId="6" borderId="0" xfId="1" applyFont="1" applyFill="1"/>
    <xf numFmtId="44" fontId="1" fillId="8" borderId="0" xfId="1" applyFont="1" applyFill="1"/>
    <xf numFmtId="0" fontId="19" fillId="0" borderId="0" xfId="0" applyFont="1" applyFill="1"/>
    <xf numFmtId="0" fontId="1" fillId="0" borderId="0" xfId="0" applyFont="1" applyFill="1" applyBorder="1"/>
    <xf numFmtId="5" fontId="18" fillId="0" borderId="0" xfId="2" applyFont="1" applyFill="1" applyBorder="1"/>
    <xf numFmtId="0" fontId="2" fillId="0" borderId="0" xfId="0" applyFont="1" applyFill="1" applyAlignment="1">
      <alignment wrapText="1"/>
    </xf>
    <xf numFmtId="42" fontId="1" fillId="6" borderId="0" xfId="0" applyNumberFormat="1" applyFont="1" applyFill="1"/>
    <xf numFmtId="42" fontId="29" fillId="0" borderId="0" xfId="0" applyNumberFormat="1" applyFont="1" applyAlignment="1">
      <alignment vertical="top"/>
    </xf>
    <xf numFmtId="42" fontId="19" fillId="0" borderId="0" xfId="0" applyNumberFormat="1" applyFont="1" applyFill="1"/>
    <xf numFmtId="42" fontId="1" fillId="0" borderId="0" xfId="0" applyNumberFormat="1" applyFont="1" applyFill="1" applyBorder="1"/>
    <xf numFmtId="42" fontId="18" fillId="0" borderId="0" xfId="2" applyNumberFormat="1" applyFont="1" applyFill="1" applyBorder="1"/>
    <xf numFmtId="42" fontId="2" fillId="0" borderId="0" xfId="0" applyNumberFormat="1" applyFont="1" applyFill="1" applyAlignment="1">
      <alignment wrapText="1"/>
    </xf>
    <xf numFmtId="42" fontId="1" fillId="0" borderId="0" xfId="0" applyNumberFormat="1" applyFont="1" applyFill="1" applyAlignment="1">
      <alignment horizontal="left"/>
    </xf>
    <xf numFmtId="42" fontId="2" fillId="0" borderId="0" xfId="0" applyNumberFormat="1" applyFont="1" applyFill="1"/>
    <xf numFmtId="42" fontId="2" fillId="0" borderId="0" xfId="0" applyNumberFormat="1" applyFont="1" applyFill="1" applyAlignment="1">
      <alignment horizontal="left"/>
    </xf>
    <xf numFmtId="42" fontId="1" fillId="8" borderId="0" xfId="0" applyNumberFormat="1" applyFont="1" applyFill="1"/>
    <xf numFmtId="42" fontId="25" fillId="8" borderId="0" xfId="0" applyNumberFormat="1" applyFont="1" applyFill="1"/>
    <xf numFmtId="42" fontId="25" fillId="6" borderId="0" xfId="0" applyNumberFormat="1" applyFont="1" applyFill="1"/>
    <xf numFmtId="42" fontId="28" fillId="6" borderId="5" xfId="0" applyNumberFormat="1" applyFont="1" applyFill="1" applyBorder="1"/>
    <xf numFmtId="42" fontId="1" fillId="0" borderId="0" xfId="1" applyNumberFormat="1" applyFont="1" applyFill="1"/>
    <xf numFmtId="42" fontId="1" fillId="0" borderId="0" xfId="1" applyNumberFormat="1" applyFont="1" applyFill="1" applyAlignment="1">
      <alignment horizontal="left"/>
    </xf>
    <xf numFmtId="42" fontId="1" fillId="0" borderId="0" xfId="0" applyNumberFormat="1" applyFont="1" applyFill="1" applyAlignment="1">
      <alignment wrapText="1"/>
    </xf>
    <xf numFmtId="42" fontId="2" fillId="0" borderId="0" xfId="1" applyNumberFormat="1" applyFont="1" applyFill="1"/>
    <xf numFmtId="42" fontId="2" fillId="0" borderId="5" xfId="1" applyNumberFormat="1" applyFont="1" applyFill="1" applyBorder="1"/>
    <xf numFmtId="42" fontId="1" fillId="0" borderId="0" xfId="2" applyNumberFormat="1" applyFont="1" applyFill="1" applyAlignment="1">
      <alignment horizontal="left"/>
    </xf>
    <xf numFmtId="42" fontId="3" fillId="0" borderId="0" xfId="0" applyNumberFormat="1" applyFont="1" applyFill="1"/>
    <xf numFmtId="42" fontId="1" fillId="0" borderId="5" xfId="1" applyNumberFormat="1" applyFont="1" applyFill="1" applyBorder="1"/>
    <xf numFmtId="42" fontId="2" fillId="0" borderId="0" xfId="2" applyNumberFormat="1" applyFont="1" applyFill="1" applyAlignment="1">
      <alignment horizontal="left"/>
    </xf>
    <xf numFmtId="42" fontId="20" fillId="0" borderId="0" xfId="0" applyNumberFormat="1" applyFont="1" applyFill="1"/>
    <xf numFmtId="42" fontId="1" fillId="0" borderId="0" xfId="2" applyNumberFormat="1" applyFont="1" applyFill="1" applyAlignment="1">
      <alignment horizontal="left" wrapText="1"/>
    </xf>
    <xf numFmtId="42" fontId="3" fillId="0" borderId="0" xfId="3" applyNumberFormat="1" applyFont="1" applyFill="1"/>
    <xf numFmtId="42" fontId="2" fillId="0" borderId="0" xfId="2" applyNumberFormat="1" applyFont="1" applyFill="1" applyAlignment="1">
      <alignment horizontal="left" wrapText="1"/>
    </xf>
    <xf numFmtId="42" fontId="30" fillId="5" borderId="0" xfId="0" applyNumberFormat="1" applyFont="1" applyFill="1" applyAlignment="1" applyProtection="1">
      <alignment horizontal="left"/>
    </xf>
    <xf numFmtId="42" fontId="1" fillId="5" borderId="0" xfId="0" applyNumberFormat="1" applyFont="1" applyFill="1"/>
    <xf numFmtId="42" fontId="1" fillId="0" borderId="0" xfId="0" applyNumberFormat="1" applyFont="1" applyAlignment="1" applyProtection="1">
      <alignment horizontal="left"/>
    </xf>
    <xf numFmtId="42" fontId="1" fillId="0" borderId="0" xfId="0" applyNumberFormat="1" applyFont="1" applyAlignment="1">
      <alignment vertical="top"/>
    </xf>
    <xf numFmtId="42" fontId="1" fillId="0" borderId="0" xfId="2" applyNumberFormat="1" applyFont="1" applyFill="1"/>
    <xf numFmtId="42" fontId="1" fillId="0" borderId="0" xfId="3" applyNumberFormat="1" applyFont="1" applyFill="1"/>
    <xf numFmtId="42" fontId="24" fillId="0" borderId="0" xfId="0" applyNumberFormat="1" applyFont="1" applyFill="1" applyAlignment="1">
      <alignment wrapText="1"/>
    </xf>
    <xf numFmtId="42" fontId="24" fillId="0" borderId="0" xfId="0" applyNumberFormat="1" applyFont="1" applyFill="1"/>
    <xf numFmtId="42" fontId="1" fillId="5" borderId="5" xfId="0" applyNumberFormat="1" applyFont="1" applyFill="1" applyBorder="1"/>
    <xf numFmtId="42" fontId="1" fillId="9" borderId="0" xfId="1" applyNumberFormat="1" applyFont="1" applyFill="1"/>
    <xf numFmtId="0" fontId="1" fillId="0" borderId="0" xfId="0" applyNumberFormat="1" applyFont="1" applyFill="1"/>
    <xf numFmtId="168" fontId="1" fillId="0" borderId="0" xfId="0" applyNumberFormat="1" applyFont="1" applyFill="1"/>
    <xf numFmtId="42" fontId="1" fillId="9" borderId="0" xfId="0" applyNumberFormat="1" applyFont="1" applyFill="1"/>
    <xf numFmtId="43" fontId="2" fillId="6" borderId="0" xfId="2" applyNumberFormat="1" applyFont="1" applyFill="1" applyAlignment="1">
      <alignment horizontal="left"/>
    </xf>
    <xf numFmtId="43" fontId="20" fillId="6" borderId="0" xfId="0" applyNumberFormat="1" applyFont="1" applyFill="1"/>
    <xf numFmtId="43" fontId="2" fillId="6" borderId="0" xfId="1" applyNumberFormat="1" applyFont="1" applyFill="1"/>
    <xf numFmtId="43" fontId="20" fillId="0" borderId="0" xfId="0" applyNumberFormat="1" applyFont="1" applyFill="1"/>
    <xf numFmtId="8" fontId="2" fillId="0" borderId="5" xfId="0" applyNumberFormat="1" applyFont="1" applyFill="1" applyBorder="1"/>
    <xf numFmtId="44" fontId="2" fillId="0" borderId="5" xfId="0" applyNumberFormat="1" applyFont="1" applyFill="1" applyBorder="1"/>
    <xf numFmtId="44" fontId="1" fillId="0" borderId="0" xfId="1" applyFont="1" applyFill="1" applyBorder="1"/>
    <xf numFmtId="0" fontId="16" fillId="10" borderId="1" xfId="0" applyFont="1" applyFill="1" applyBorder="1" applyAlignment="1">
      <alignment horizontal="center" wrapText="1"/>
    </xf>
    <xf numFmtId="0" fontId="14" fillId="0" borderId="1" xfId="0" applyFont="1" applyBorder="1"/>
    <xf numFmtId="0" fontId="16" fillId="0" borderId="1" xfId="0" applyFont="1" applyBorder="1"/>
    <xf numFmtId="9" fontId="14" fillId="0" borderId="1" xfId="0" applyNumberFormat="1" applyFont="1" applyBorder="1"/>
    <xf numFmtId="0" fontId="31" fillId="0" borderId="6" xfId="0" applyFont="1" applyBorder="1" applyAlignment="1">
      <alignment horizontal="left"/>
    </xf>
    <xf numFmtId="0" fontId="32" fillId="0" borderId="7" xfId="0" applyFont="1" applyBorder="1" applyAlignment="1">
      <alignment horizontal="left"/>
    </xf>
    <xf numFmtId="0" fontId="32" fillId="0" borderId="8" xfId="0" applyFont="1" applyBorder="1" applyAlignment="1">
      <alignment horizontal="left"/>
    </xf>
    <xf numFmtId="0" fontId="32" fillId="0" borderId="0" xfId="0" applyFont="1" applyBorder="1" applyAlignment="1">
      <alignment horizontal="left"/>
    </xf>
    <xf numFmtId="6" fontId="33" fillId="0" borderId="0" xfId="0" applyNumberFormat="1" applyFont="1"/>
    <xf numFmtId="0" fontId="33" fillId="0" borderId="0" xfId="0" applyFont="1"/>
    <xf numFmtId="0" fontId="31" fillId="0" borderId="0" xfId="0" applyFont="1" applyBorder="1" applyAlignment="1">
      <alignment horizontal="left"/>
    </xf>
    <xf numFmtId="164" fontId="34" fillId="0" borderId="5" xfId="1" applyNumberFormat="1" applyFont="1" applyFill="1" applyBorder="1" applyAlignment="1">
      <alignment horizontal="left"/>
    </xf>
    <xf numFmtId="0" fontId="34" fillId="0" borderId="0" xfId="0" applyFont="1"/>
    <xf numFmtId="0" fontId="35" fillId="0" borderId="0" xfId="0" applyFont="1"/>
    <xf numFmtId="0" fontId="3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34" fillId="0" borderId="0" xfId="1" applyNumberFormat="1" applyFont="1" applyFill="1" applyBorder="1" applyAlignment="1">
      <alignment horizontal="left"/>
    </xf>
    <xf numFmtId="164" fontId="35" fillId="0" borderId="0" xfId="1" applyNumberFormat="1" applyFont="1" applyFill="1" applyBorder="1" applyAlignment="1">
      <alignment horizontal="right"/>
    </xf>
    <xf numFmtId="164" fontId="35" fillId="0" borderId="0" xfId="0" applyNumberFormat="1" applyFont="1"/>
    <xf numFmtId="42" fontId="35" fillId="0" borderId="0" xfId="0" applyNumberFormat="1" applyFont="1"/>
    <xf numFmtId="0" fontId="36" fillId="0" borderId="0" xfId="0" applyFont="1" applyBorder="1"/>
    <xf numFmtId="0" fontId="37" fillId="0" borderId="0" xfId="0" applyFont="1" applyBorder="1"/>
    <xf numFmtId="0" fontId="38" fillId="0" borderId="0" xfId="0" applyFont="1" applyBorder="1"/>
    <xf numFmtId="0" fontId="39" fillId="0" borderId="0" xfId="0" applyFont="1" applyBorder="1"/>
    <xf numFmtId="0" fontId="35" fillId="0" borderId="0" xfId="0" applyFont="1" applyBorder="1"/>
    <xf numFmtId="0" fontId="34" fillId="0" borderId="0" xfId="0" applyFont="1" applyBorder="1" applyAlignment="1">
      <alignment horizontal="center"/>
    </xf>
    <xf numFmtId="164" fontId="35" fillId="0" borderId="0" xfId="0" applyNumberFormat="1" applyFont="1" applyBorder="1"/>
    <xf numFmtId="0" fontId="37" fillId="0" borderId="0" xfId="0" applyFont="1" applyBorder="1" applyAlignment="1">
      <alignment horizontal="center"/>
    </xf>
    <xf numFmtId="42" fontId="35" fillId="0" borderId="0" xfId="0" applyNumberFormat="1" applyFont="1" applyBorder="1"/>
    <xf numFmtId="0" fontId="38" fillId="0" borderId="0" xfId="0" applyFont="1" applyBorder="1" applyAlignment="1">
      <alignment horizontal="center"/>
    </xf>
    <xf numFmtId="44" fontId="38" fillId="0" borderId="0" xfId="1" applyFont="1" applyBorder="1"/>
    <xf numFmtId="0" fontId="35" fillId="0" borderId="9" xfId="0" applyFont="1" applyBorder="1"/>
    <xf numFmtId="6" fontId="35" fillId="0" borderId="0" xfId="0" applyNumberFormat="1" applyFont="1"/>
    <xf numFmtId="0" fontId="40" fillId="0" borderId="0" xfId="0" applyFont="1" applyAlignment="1">
      <alignment wrapText="1"/>
    </xf>
    <xf numFmtId="164" fontId="41" fillId="0" borderId="0" xfId="0" applyNumberFormat="1" applyFont="1"/>
    <xf numFmtId="9" fontId="35" fillId="0" borderId="0" xfId="3" applyFont="1"/>
    <xf numFmtId="44" fontId="37" fillId="0" borderId="0" xfId="1" applyFont="1" applyBorder="1"/>
    <xf numFmtId="6" fontId="34" fillId="0" borderId="0" xfId="0" applyNumberFormat="1" applyFont="1"/>
    <xf numFmtId="10" fontId="35" fillId="0" borderId="0" xfId="3" applyNumberFormat="1" applyFont="1"/>
    <xf numFmtId="42" fontId="34" fillId="0" borderId="0" xfId="0" applyNumberFormat="1" applyFont="1"/>
    <xf numFmtId="38" fontId="35" fillId="0" borderId="0" xfId="0" applyNumberFormat="1" applyFont="1"/>
    <xf numFmtId="8" fontId="35" fillId="0" borderId="0" xfId="0" applyNumberFormat="1" applyFont="1"/>
    <xf numFmtId="0" fontId="34" fillId="0" borderId="10" xfId="0" applyFont="1" applyBorder="1"/>
    <xf numFmtId="0" fontId="35" fillId="0" borderId="11" xfId="0" applyFont="1" applyBorder="1"/>
    <xf numFmtId="0" fontId="34" fillId="0" borderId="11" xfId="0" applyFont="1" applyBorder="1" applyAlignment="1">
      <alignment horizontal="center"/>
    </xf>
    <xf numFmtId="6" fontId="34" fillId="0" borderId="11" xfId="0" applyNumberFormat="1" applyFont="1" applyBorder="1"/>
    <xf numFmtId="6" fontId="34" fillId="0" borderId="5" xfId="0" applyNumberFormat="1" applyFont="1" applyBorder="1"/>
    <xf numFmtId="6" fontId="34" fillId="0" borderId="0" xfId="0" applyNumberFormat="1" applyFont="1" applyBorder="1"/>
    <xf numFmtId="9" fontId="14" fillId="0" borderId="0" xfId="0" applyNumberFormat="1" applyFont="1"/>
    <xf numFmtId="0" fontId="16" fillId="0" borderId="2" xfId="0" applyFont="1" applyBorder="1"/>
    <xf numFmtId="0" fontId="23" fillId="0" borderId="0" xfId="0" applyFont="1"/>
    <xf numFmtId="9" fontId="16" fillId="10" borderId="1" xfId="0" applyNumberFormat="1" applyFont="1" applyFill="1" applyBorder="1" applyAlignment="1">
      <alignment horizontal="center" wrapText="1"/>
    </xf>
    <xf numFmtId="1" fontId="14" fillId="0" borderId="1" xfId="0" applyNumberFormat="1" applyFont="1" applyBorder="1"/>
    <xf numFmtId="1" fontId="16" fillId="0" borderId="1" xfId="0" applyNumberFormat="1" applyFont="1" applyBorder="1"/>
    <xf numFmtId="42" fontId="0" fillId="0" borderId="0" xfId="0" applyNumberFormat="1"/>
    <xf numFmtId="3" fontId="0" fillId="0" borderId="0" xfId="0" applyNumberFormat="1"/>
    <xf numFmtId="44" fontId="0" fillId="0" borderId="0" xfId="0" applyNumberFormat="1"/>
    <xf numFmtId="42" fontId="2" fillId="0" borderId="0" xfId="0" applyNumberFormat="1" applyFont="1"/>
    <xf numFmtId="0" fontId="20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horizontal="left" wrapText="1"/>
    </xf>
    <xf numFmtId="14" fontId="3" fillId="0" borderId="0" xfId="0" applyNumberFormat="1" applyFont="1" applyFill="1" applyAlignment="1">
      <alignment horizontal="left"/>
    </xf>
    <xf numFmtId="0" fontId="20" fillId="0" borderId="1" xfId="0" applyFont="1" applyFill="1" applyBorder="1" applyAlignment="1">
      <alignment horizontal="left" wrapText="1"/>
    </xf>
    <xf numFmtId="164" fontId="20" fillId="0" borderId="1" xfId="0" applyNumberFormat="1" applyFont="1" applyFill="1" applyBorder="1" applyAlignment="1">
      <alignment horizontal="center" wrapText="1"/>
    </xf>
    <xf numFmtId="0" fontId="20" fillId="0" borderId="1" xfId="0" applyFont="1" applyFill="1" applyBorder="1"/>
    <xf numFmtId="0" fontId="20" fillId="0" borderId="0" xfId="0" applyFont="1" applyFill="1" applyBorder="1"/>
    <xf numFmtId="0" fontId="20" fillId="0" borderId="0" xfId="0" applyFont="1" applyFill="1"/>
    <xf numFmtId="0" fontId="20" fillId="0" borderId="1" xfId="0" applyFont="1" applyFill="1" applyBorder="1" applyAlignment="1">
      <alignment horizontal="left"/>
    </xf>
    <xf numFmtId="0" fontId="20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9" fontId="3" fillId="0" borderId="1" xfId="1" applyNumberFormat="1" applyFont="1" applyFill="1" applyBorder="1" applyAlignment="1">
      <alignment horizontal="left"/>
    </xf>
    <xf numFmtId="44" fontId="3" fillId="0" borderId="1" xfId="1" applyNumberFormat="1" applyFont="1" applyFill="1" applyBorder="1" applyAlignment="1">
      <alignment horizontal="left"/>
    </xf>
    <xf numFmtId="44" fontId="3" fillId="0" borderId="0" xfId="0" applyNumberFormat="1" applyFont="1" applyFill="1"/>
    <xf numFmtId="9" fontId="3" fillId="0" borderId="1" xfId="0" applyNumberFormat="1" applyFont="1" applyFill="1" applyBorder="1" applyAlignment="1">
      <alignment horizontal="left"/>
    </xf>
    <xf numFmtId="9" fontId="20" fillId="0" borderId="1" xfId="0" applyNumberFormat="1" applyFont="1" applyFill="1" applyBorder="1" applyAlignment="1">
      <alignment horizontal="left"/>
    </xf>
    <xf numFmtId="44" fontId="20" fillId="0" borderId="0" xfId="1" applyNumberFormat="1" applyFont="1" applyFill="1" applyAlignment="1">
      <alignment horizontal="left"/>
    </xf>
    <xf numFmtId="10" fontId="3" fillId="0" borderId="1" xfId="0" applyNumberFormat="1" applyFont="1" applyFill="1" applyBorder="1" applyAlignment="1">
      <alignment horizontal="left"/>
    </xf>
    <xf numFmtId="44" fontId="20" fillId="0" borderId="1" xfId="0" applyNumberFormat="1" applyFont="1" applyFill="1" applyBorder="1" applyAlignment="1">
      <alignment horizontal="left"/>
    </xf>
    <xf numFmtId="10" fontId="20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9" fontId="3" fillId="0" borderId="1" xfId="3" applyFont="1" applyFill="1" applyBorder="1" applyAlignment="1">
      <alignment horizontal="left"/>
    </xf>
    <xf numFmtId="44" fontId="3" fillId="0" borderId="1" xfId="1" applyFont="1" applyFill="1" applyBorder="1" applyAlignment="1">
      <alignment horizontal="left"/>
    </xf>
    <xf numFmtId="44" fontId="20" fillId="0" borderId="0" xfId="0" applyNumberFormat="1" applyFont="1" applyFill="1"/>
    <xf numFmtId="44" fontId="3" fillId="0" borderId="0" xfId="1" applyFont="1" applyFill="1"/>
    <xf numFmtId="42" fontId="20" fillId="0" borderId="1" xfId="0" applyNumberFormat="1" applyFont="1" applyFill="1" applyBorder="1" applyAlignment="1">
      <alignment horizontal="left"/>
    </xf>
    <xf numFmtId="10" fontId="3" fillId="0" borderId="0" xfId="3" applyNumberFormat="1" applyFont="1" applyFill="1"/>
    <xf numFmtId="44" fontId="3" fillId="0" borderId="0" xfId="0" applyNumberFormat="1" applyFont="1" applyFill="1" applyBorder="1"/>
    <xf numFmtId="44" fontId="3" fillId="0" borderId="0" xfId="1" applyFont="1" applyFill="1" applyBorder="1"/>
    <xf numFmtId="0" fontId="3" fillId="0" borderId="0" xfId="0" applyFont="1" applyFill="1" applyBorder="1"/>
    <xf numFmtId="9" fontId="42" fillId="0" borderId="1" xfId="0" applyNumberFormat="1" applyFont="1" applyFill="1" applyBorder="1" applyAlignment="1">
      <alignment horizontal="left"/>
    </xf>
    <xf numFmtId="44" fontId="20" fillId="0" borderId="0" xfId="1" applyNumberFormat="1" applyFont="1" applyFill="1" applyBorder="1" applyAlignment="1">
      <alignment horizontal="left"/>
    </xf>
    <xf numFmtId="44" fontId="20" fillId="0" borderId="0" xfId="0" applyNumberFormat="1" applyFont="1" applyFill="1" applyBorder="1"/>
    <xf numFmtId="44" fontId="43" fillId="0" borderId="0" xfId="0" applyNumberFormat="1" applyFont="1" applyFill="1" applyBorder="1"/>
    <xf numFmtId="10" fontId="3" fillId="0" borderId="0" xfId="0" applyNumberFormat="1" applyFont="1" applyFill="1" applyBorder="1"/>
    <xf numFmtId="0" fontId="42" fillId="0" borderId="0" xfId="0" applyFont="1" applyFill="1" applyBorder="1" applyAlignment="1">
      <alignment horizontal="left"/>
    </xf>
    <xf numFmtId="42" fontId="43" fillId="0" borderId="0" xfId="1" applyNumberFormat="1" applyFont="1" applyFill="1" applyBorder="1" applyAlignment="1">
      <alignment horizontal="left"/>
    </xf>
    <xf numFmtId="42" fontId="42" fillId="0" borderId="0" xfId="1" applyNumberFormat="1" applyFont="1" applyFill="1" applyBorder="1"/>
    <xf numFmtId="0" fontId="42" fillId="0" borderId="0" xfId="0" applyFont="1" applyFill="1" applyBorder="1"/>
    <xf numFmtId="10" fontId="42" fillId="0" borderId="0" xfId="0" applyNumberFormat="1" applyFont="1" applyFill="1" applyBorder="1"/>
    <xf numFmtId="44" fontId="42" fillId="0" borderId="0" xfId="0" applyNumberFormat="1" applyFont="1" applyFill="1" applyBorder="1"/>
    <xf numFmtId="0" fontId="3" fillId="0" borderId="0" xfId="0" applyFont="1" applyFill="1" applyBorder="1" applyAlignment="1">
      <alignment horizontal="left"/>
    </xf>
    <xf numFmtId="42" fontId="42" fillId="0" borderId="0" xfId="1" applyNumberFormat="1" applyFont="1" applyFill="1" applyBorder="1" applyAlignment="1">
      <alignment horizontal="left"/>
    </xf>
    <xf numFmtId="42" fontId="3" fillId="0" borderId="0" xfId="1" applyNumberFormat="1" applyFont="1" applyFill="1" applyBorder="1"/>
    <xf numFmtId="0" fontId="20" fillId="0" borderId="0" xfId="0" applyFont="1" applyFill="1" applyBorder="1" applyAlignment="1">
      <alignment horizontal="left"/>
    </xf>
    <xf numFmtId="42" fontId="3" fillId="0" borderId="0" xfId="1" applyNumberFormat="1" applyFont="1" applyFill="1" applyBorder="1" applyAlignment="1">
      <alignment horizontal="left"/>
    </xf>
    <xf numFmtId="42" fontId="3" fillId="0" borderId="0" xfId="1" applyNumberFormat="1" applyFont="1" applyFill="1"/>
    <xf numFmtId="42" fontId="20" fillId="0" borderId="0" xfId="1" applyNumberFormat="1" applyFont="1" applyFill="1" applyBorder="1" applyAlignment="1">
      <alignment horizontal="left"/>
    </xf>
    <xf numFmtId="42" fontId="20" fillId="0" borderId="0" xfId="1" applyNumberFormat="1" applyFont="1" applyFill="1"/>
    <xf numFmtId="0" fontId="42" fillId="0" borderId="0" xfId="0" applyFont="1" applyFill="1" applyAlignment="1">
      <alignment horizontal="left"/>
    </xf>
    <xf numFmtId="44" fontId="42" fillId="0" borderId="0" xfId="0" applyNumberFormat="1" applyFont="1" applyFill="1"/>
    <xf numFmtId="0" fontId="42" fillId="0" borderId="0" xfId="0" applyFont="1" applyFill="1"/>
    <xf numFmtId="42" fontId="20" fillId="0" borderId="1" xfId="1" applyNumberFormat="1" applyFont="1" applyFill="1" applyBorder="1" applyAlignment="1">
      <alignment horizontal="center"/>
    </xf>
    <xf numFmtId="42" fontId="3" fillId="0" borderId="1" xfId="1" applyNumberFormat="1" applyFont="1" applyFill="1" applyBorder="1" applyAlignment="1">
      <alignment horizontal="center"/>
    </xf>
    <xf numFmtId="44" fontId="3" fillId="0" borderId="1" xfId="1" applyNumberFormat="1" applyFont="1" applyFill="1" applyBorder="1" applyAlignment="1">
      <alignment horizontal="center"/>
    </xf>
    <xf numFmtId="0" fontId="20" fillId="0" borderId="12" xfId="0" applyFont="1" applyFill="1" applyBorder="1"/>
    <xf numFmtId="42" fontId="3" fillId="0" borderId="1" xfId="1" applyNumberFormat="1" applyFont="1" applyFill="1" applyBorder="1" applyAlignment="1">
      <alignment horizontal="center" wrapText="1"/>
    </xf>
    <xf numFmtId="44" fontId="20" fillId="0" borderId="0" xfId="1" applyFont="1" applyFill="1"/>
    <xf numFmtId="3" fontId="20" fillId="0" borderId="0" xfId="0" applyNumberFormat="1" applyFont="1" applyFill="1" applyBorder="1"/>
    <xf numFmtId="42" fontId="3" fillId="0" borderId="0" xfId="0" applyNumberFormat="1" applyFont="1" applyFill="1" applyBorder="1"/>
    <xf numFmtId="0" fontId="3" fillId="0" borderId="1" xfId="0" applyFont="1" applyFill="1" applyBorder="1"/>
    <xf numFmtId="44" fontId="3" fillId="0" borderId="1" xfId="1" applyFont="1" applyFill="1" applyBorder="1"/>
    <xf numFmtId="44" fontId="3" fillId="0" borderId="1" xfId="0" applyNumberFormat="1" applyFont="1" applyFill="1" applyBorder="1"/>
    <xf numFmtId="0" fontId="42" fillId="0" borderId="0" xfId="0" applyFont="1" applyFill="1" applyBorder="1" applyAlignment="1"/>
    <xf numFmtId="0" fontId="3" fillId="0" borderId="0" xfId="0" applyFont="1" applyFill="1" applyBorder="1" applyAlignment="1"/>
    <xf numFmtId="0" fontId="3" fillId="0" borderId="0" xfId="0" applyFont="1" applyFill="1" applyAlignment="1"/>
    <xf numFmtId="0" fontId="20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 wrapText="1"/>
    </xf>
    <xf numFmtId="14" fontId="3" fillId="0" borderId="0" xfId="0" applyNumberFormat="1" applyFont="1" applyFill="1" applyAlignment="1">
      <alignment horizontal="left" vertical="top"/>
    </xf>
    <xf numFmtId="0" fontId="20" fillId="0" borderId="1" xfId="0" applyFont="1" applyFill="1" applyBorder="1" applyAlignment="1">
      <alignment horizontal="left" vertical="top" wrapText="1"/>
    </xf>
    <xf numFmtId="164" fontId="20" fillId="0" borderId="1" xfId="0" applyNumberFormat="1" applyFont="1" applyFill="1" applyBorder="1" applyAlignment="1">
      <alignment horizontal="left" vertical="top" wrapText="1"/>
    </xf>
    <xf numFmtId="0" fontId="20" fillId="0" borderId="1" xfId="0" applyFont="1" applyFill="1" applyBorder="1" applyAlignment="1">
      <alignment horizontal="left" vertical="top"/>
    </xf>
    <xf numFmtId="0" fontId="20" fillId="10" borderId="0" xfId="0" applyFont="1" applyFill="1" applyBorder="1" applyAlignment="1">
      <alignment horizontal="left" vertical="top"/>
    </xf>
    <xf numFmtId="0" fontId="20" fillId="10" borderId="0" xfId="0" applyFont="1" applyFill="1" applyAlignment="1">
      <alignment horizontal="left" vertical="top"/>
    </xf>
    <xf numFmtId="0" fontId="20" fillId="10" borderId="1" xfId="0" applyFont="1" applyFill="1" applyBorder="1" applyAlignment="1">
      <alignment horizontal="left" vertical="top"/>
    </xf>
    <xf numFmtId="0" fontId="20" fillId="0" borderId="0" xfId="0" applyFont="1" applyFill="1" applyAlignment="1">
      <alignment horizontal="left" vertical="top" wrapText="1"/>
    </xf>
    <xf numFmtId="164" fontId="20" fillId="0" borderId="0" xfId="0" applyNumberFormat="1" applyFont="1" applyFill="1" applyAlignment="1">
      <alignment horizontal="left" vertical="top" wrapText="1"/>
    </xf>
    <xf numFmtId="44" fontId="20" fillId="0" borderId="0" xfId="1" applyFont="1" applyFill="1" applyAlignment="1">
      <alignment horizontal="left" vertical="top"/>
    </xf>
    <xf numFmtId="44" fontId="20" fillId="0" borderId="1" xfId="1" applyNumberFormat="1" applyFont="1" applyFill="1" applyBorder="1" applyAlignment="1">
      <alignment horizontal="left" vertical="top"/>
    </xf>
    <xf numFmtId="42" fontId="20" fillId="0" borderId="1" xfId="1" applyNumberFormat="1" applyFont="1" applyFill="1" applyBorder="1" applyAlignment="1">
      <alignment horizontal="left" vertical="top"/>
    </xf>
    <xf numFmtId="42" fontId="3" fillId="0" borderId="1" xfId="0" applyNumberFormat="1" applyFont="1" applyFill="1" applyBorder="1" applyAlignment="1">
      <alignment horizontal="left" vertical="top"/>
    </xf>
    <xf numFmtId="42" fontId="20" fillId="0" borderId="1" xfId="0" applyNumberFormat="1" applyFont="1" applyFill="1" applyBorder="1" applyAlignment="1">
      <alignment horizontal="left" vertical="top"/>
    </xf>
    <xf numFmtId="44" fontId="20" fillId="0" borderId="1" xfId="1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42" fontId="3" fillId="0" borderId="1" xfId="1" applyNumberFormat="1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44" fontId="3" fillId="0" borderId="1" xfId="1" applyFont="1" applyFill="1" applyBorder="1" applyAlignment="1">
      <alignment horizontal="left" vertical="top"/>
    </xf>
    <xf numFmtId="9" fontId="3" fillId="0" borderId="1" xfId="1" applyNumberFormat="1" applyFont="1" applyFill="1" applyBorder="1" applyAlignment="1">
      <alignment horizontal="left" vertical="top"/>
    </xf>
    <xf numFmtId="44" fontId="3" fillId="0" borderId="1" xfId="0" applyNumberFormat="1" applyFont="1" applyFill="1" applyBorder="1" applyAlignment="1">
      <alignment horizontal="left" vertical="top"/>
    </xf>
    <xf numFmtId="44" fontId="3" fillId="0" borderId="1" xfId="1" applyNumberFormat="1" applyFont="1" applyFill="1" applyBorder="1" applyAlignment="1">
      <alignment horizontal="left" vertical="top"/>
    </xf>
    <xf numFmtId="9" fontId="3" fillId="0" borderId="1" xfId="0" applyNumberFormat="1" applyFont="1" applyFill="1" applyBorder="1" applyAlignment="1">
      <alignment horizontal="left" vertical="top"/>
    </xf>
    <xf numFmtId="9" fontId="20" fillId="0" borderId="1" xfId="0" applyNumberFormat="1" applyFont="1" applyFill="1" applyBorder="1" applyAlignment="1">
      <alignment horizontal="left" vertical="top"/>
    </xf>
    <xf numFmtId="10" fontId="3" fillId="0" borderId="1" xfId="0" applyNumberFormat="1" applyFont="1" applyFill="1" applyBorder="1" applyAlignment="1">
      <alignment horizontal="left" vertical="top"/>
    </xf>
    <xf numFmtId="44" fontId="20" fillId="0" borderId="1" xfId="0" applyNumberFormat="1" applyFont="1" applyFill="1" applyBorder="1" applyAlignment="1">
      <alignment horizontal="left" vertical="top"/>
    </xf>
    <xf numFmtId="10" fontId="20" fillId="0" borderId="1" xfId="0" applyNumberFormat="1" applyFont="1" applyFill="1" applyBorder="1" applyAlignment="1">
      <alignment horizontal="left" vertical="top"/>
    </xf>
    <xf numFmtId="9" fontId="3" fillId="0" borderId="1" xfId="3" applyFont="1" applyFill="1" applyBorder="1" applyAlignment="1">
      <alignment horizontal="left" vertical="top"/>
    </xf>
    <xf numFmtId="10" fontId="3" fillId="0" borderId="1" xfId="3" applyNumberFormat="1" applyFont="1" applyFill="1" applyBorder="1" applyAlignment="1">
      <alignment horizontal="left" vertical="top"/>
    </xf>
    <xf numFmtId="9" fontId="42" fillId="0" borderId="1" xfId="0" applyNumberFormat="1" applyFont="1" applyFill="1" applyBorder="1" applyAlignment="1">
      <alignment horizontal="left" vertical="top"/>
    </xf>
    <xf numFmtId="42" fontId="20" fillId="0" borderId="1" xfId="0" applyNumberFormat="1" applyFont="1" applyFill="1" applyBorder="1" applyAlignment="1">
      <alignment horizontal="left" vertical="top" wrapText="1"/>
    </xf>
    <xf numFmtId="44" fontId="20" fillId="0" borderId="1" xfId="0" applyNumberFormat="1" applyFont="1" applyFill="1" applyBorder="1" applyAlignment="1">
      <alignment horizontal="left" vertical="top" wrapText="1"/>
    </xf>
    <xf numFmtId="3" fontId="3" fillId="0" borderId="1" xfId="0" applyNumberFormat="1" applyFont="1" applyFill="1" applyBorder="1" applyAlignment="1">
      <alignment horizontal="left" vertical="top"/>
    </xf>
    <xf numFmtId="42" fontId="3" fillId="0" borderId="1" xfId="0" applyNumberFormat="1" applyFont="1" applyFill="1" applyBorder="1" applyAlignment="1">
      <alignment horizontal="left" vertical="top" wrapText="1"/>
    </xf>
    <xf numFmtId="0" fontId="44" fillId="0" borderId="0" xfId="0" applyFont="1" applyFill="1" applyAlignment="1">
      <alignment horizontal="left"/>
    </xf>
    <xf numFmtId="0" fontId="45" fillId="0" borderId="0" xfId="0" applyFont="1" applyFill="1"/>
    <xf numFmtId="0" fontId="44" fillId="0" borderId="0" xfId="0" applyFont="1" applyFill="1"/>
    <xf numFmtId="0" fontId="44" fillId="0" borderId="1" xfId="0" applyFont="1" applyFill="1" applyBorder="1"/>
    <xf numFmtId="0" fontId="45" fillId="0" borderId="1" xfId="0" applyFont="1" applyFill="1" applyBorder="1"/>
    <xf numFmtId="0" fontId="45" fillId="0" borderId="1" xfId="0" applyFont="1" applyFill="1" applyBorder="1" applyAlignment="1">
      <alignment horizontal="left"/>
    </xf>
    <xf numFmtId="44" fontId="45" fillId="0" borderId="1" xfId="0" applyNumberFormat="1" applyFont="1" applyFill="1" applyBorder="1"/>
    <xf numFmtId="9" fontId="45" fillId="0" borderId="1" xfId="0" applyNumberFormat="1" applyFont="1" applyFill="1" applyBorder="1"/>
    <xf numFmtId="44" fontId="45" fillId="0" borderId="1" xfId="1" applyFont="1" applyFill="1" applyBorder="1"/>
    <xf numFmtId="9" fontId="45" fillId="0" borderId="1" xfId="0" applyNumberFormat="1" applyFont="1" applyFill="1" applyBorder="1" applyAlignment="1">
      <alignment horizontal="left"/>
    </xf>
    <xf numFmtId="44" fontId="45" fillId="0" borderId="1" xfId="0" applyNumberFormat="1" applyFont="1" applyFill="1" applyBorder="1" applyAlignment="1">
      <alignment horizontal="left"/>
    </xf>
    <xf numFmtId="44" fontId="44" fillId="0" borderId="1" xfId="0" applyNumberFormat="1" applyFont="1" applyFill="1" applyBorder="1" applyAlignment="1">
      <alignment horizontal="left"/>
    </xf>
    <xf numFmtId="0" fontId="44" fillId="0" borderId="0" xfId="0" applyFont="1" applyFill="1" applyBorder="1"/>
    <xf numFmtId="44" fontId="44" fillId="0" borderId="0" xfId="0" applyNumberFormat="1" applyFont="1" applyFill="1" applyBorder="1" applyAlignment="1">
      <alignment horizontal="left"/>
    </xf>
    <xf numFmtId="44" fontId="44" fillId="0" borderId="0" xfId="0" applyNumberFormat="1" applyFont="1" applyFill="1" applyBorder="1"/>
    <xf numFmtId="0" fontId="45" fillId="0" borderId="0" xfId="0" applyFont="1" applyFill="1" applyBorder="1"/>
    <xf numFmtId="9" fontId="3" fillId="0" borderId="1" xfId="0" applyNumberFormat="1" applyFont="1" applyFill="1" applyBorder="1"/>
    <xf numFmtId="44" fontId="3" fillId="0" borderId="1" xfId="0" applyNumberFormat="1" applyFont="1" applyFill="1" applyBorder="1" applyAlignment="1">
      <alignment horizontal="left"/>
    </xf>
    <xf numFmtId="44" fontId="20" fillId="0" borderId="0" xfId="0" applyNumberFormat="1" applyFont="1" applyFill="1" applyBorder="1" applyAlignment="1">
      <alignment horizontal="left"/>
    </xf>
    <xf numFmtId="1" fontId="3" fillId="0" borderId="1" xfId="0" applyNumberFormat="1" applyFont="1" applyFill="1" applyBorder="1"/>
    <xf numFmtId="0" fontId="23" fillId="5" borderId="0" xfId="0" applyFont="1" applyFill="1"/>
    <xf numFmtId="44" fontId="2" fillId="0" borderId="0" xfId="0" applyNumberFormat="1" applyFont="1"/>
    <xf numFmtId="9" fontId="0" fillId="0" borderId="0" xfId="3" applyFont="1"/>
    <xf numFmtId="0" fontId="20" fillId="0" borderId="13" xfId="0" applyFont="1" applyFill="1" applyBorder="1" applyAlignment="1">
      <alignment horizontal="left" vertical="top" wrapText="1"/>
    </xf>
  </cellXfs>
  <cellStyles count="4">
    <cellStyle name="Currency" xfId="1" builtinId="4"/>
    <cellStyle name="Normal" xfId="0" builtinId="0"/>
    <cellStyle name="Normal_Second Revision" xfId="2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ctive%202011\St%20johns\Older\St(1).JohnsPreliminaryProforma_2withincreasedconstructioncost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SAK-HMFA%20cash%20flow%20versio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08%20bidwel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velopment budget"/>
      <sheetName val="LIHTC "/>
      <sheetName val="assumptions"/>
      <sheetName val="rent roll"/>
      <sheetName val="operating budget"/>
      <sheetName val="Cons Financing"/>
    </sheetNames>
    <sheetDataSet>
      <sheetData sheetId="0">
        <row r="19">
          <cell r="D19">
            <v>200000</v>
          </cell>
        </row>
        <row r="41">
          <cell r="D41">
            <v>50000</v>
          </cell>
        </row>
        <row r="47">
          <cell r="D47">
            <v>20000</v>
          </cell>
        </row>
        <row r="50">
          <cell r="D50">
            <v>15000</v>
          </cell>
        </row>
        <row r="63">
          <cell r="D63">
            <v>30000</v>
          </cell>
        </row>
        <row r="64">
          <cell r="D64">
            <v>26400</v>
          </cell>
        </row>
        <row r="65">
          <cell r="D65">
            <v>60000</v>
          </cell>
        </row>
        <row r="68">
          <cell r="D68">
            <v>77759.999999999956</v>
          </cell>
        </row>
        <row r="69">
          <cell r="D69">
            <v>20000</v>
          </cell>
        </row>
        <row r="71">
          <cell r="E71">
            <v>2950224.0183613077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 Taxes"/>
      <sheetName val=" Predevelopment Loan"/>
      <sheetName val="Development Budget"/>
      <sheetName val="Taxes"/>
      <sheetName val="Rent Roll"/>
      <sheetName val="Operating Budget"/>
      <sheetName val="resurrection house reference"/>
      <sheetName val="Revised 12-11"/>
      <sheetName val="Sheet1"/>
      <sheetName val="Sheet2"/>
    </sheetNames>
    <sheetDataSet>
      <sheetData sheetId="0"/>
      <sheetData sheetId="1"/>
      <sheetData sheetId="2"/>
      <sheetData sheetId="3"/>
      <sheetData sheetId="4">
        <row r="23">
          <cell r="B23">
            <v>34800</v>
          </cell>
          <cell r="N23">
            <v>43200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 Taxes"/>
      <sheetName val=" Predevelopment Loan"/>
      <sheetName val="Project Size"/>
      <sheetName val="Development Budget"/>
      <sheetName val="Taxes"/>
      <sheetName val="LIHTC"/>
      <sheetName val="Rent Roll"/>
      <sheetName val="Operating Budget"/>
      <sheetName val="resurrection house reference"/>
      <sheetName val="BC Operating"/>
      <sheetName val="Operating B."/>
      <sheetName val="HMFA Operating 5-10-12"/>
    </sheetNames>
    <sheetDataSet>
      <sheetData sheetId="0"/>
      <sheetData sheetId="1"/>
      <sheetData sheetId="2">
        <row r="1">
          <cell r="B1" t="str">
            <v>208 Bidwell</v>
          </cell>
        </row>
      </sheetData>
      <sheetData sheetId="3">
        <row r="2">
          <cell r="A2" t="str">
            <v>208 Bidwell</v>
          </cell>
        </row>
      </sheetData>
      <sheetData sheetId="4"/>
      <sheetData sheetId="5"/>
      <sheetData sheetId="6">
        <row r="1">
          <cell r="A1" t="str">
            <v>208 Bidwell</v>
          </cell>
        </row>
      </sheetData>
      <sheetData sheetId="7"/>
      <sheetData sheetId="8"/>
      <sheetData sheetId="9"/>
      <sheetData sheetId="10">
        <row r="25">
          <cell r="C25">
            <v>48041.187249080569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9"/>
  <sheetViews>
    <sheetView workbookViewId="0">
      <selection activeCell="A3" sqref="A3"/>
    </sheetView>
  </sheetViews>
  <sheetFormatPr defaultRowHeight="12.75" x14ac:dyDescent="0.2"/>
  <cols>
    <col min="2" max="2" width="14.28515625" bestFit="1" customWidth="1"/>
    <col min="4" max="4" width="11.42578125" bestFit="1" customWidth="1"/>
  </cols>
  <sheetData>
    <row r="1" spans="1:4" x14ac:dyDescent="0.2">
      <c r="A1" s="2" t="s">
        <v>83</v>
      </c>
    </row>
    <row r="2" spans="1:4" x14ac:dyDescent="0.2">
      <c r="A2" s="2" t="s">
        <v>85</v>
      </c>
    </row>
    <row r="4" spans="1:4" ht="15" x14ac:dyDescent="0.25">
      <c r="B4" s="26"/>
      <c r="C4" s="27" t="s">
        <v>54</v>
      </c>
    </row>
    <row r="5" spans="1:4" ht="14.25" x14ac:dyDescent="0.2">
      <c r="B5" s="28" t="s">
        <v>79</v>
      </c>
      <c r="C5" s="27">
        <v>150300</v>
      </c>
    </row>
    <row r="6" spans="1:4" ht="14.25" x14ac:dyDescent="0.2">
      <c r="B6" s="28" t="s">
        <v>19</v>
      </c>
      <c r="C6" s="27">
        <f>+C5</f>
        <v>150300</v>
      </c>
    </row>
    <row r="7" spans="1:4" ht="14.25" x14ac:dyDescent="0.2">
      <c r="B7" s="28" t="s">
        <v>55</v>
      </c>
      <c r="C7" s="29">
        <v>5.5599999999999997E-2</v>
      </c>
    </row>
    <row r="8" spans="1:4" ht="14.25" x14ac:dyDescent="0.2">
      <c r="B8" s="28" t="s">
        <v>56</v>
      </c>
      <c r="C8" s="27">
        <f>C7*C6</f>
        <v>8356.68</v>
      </c>
      <c r="D8" s="36">
        <f>C8/12</f>
        <v>696.39</v>
      </c>
    </row>
    <row r="9" spans="1:4" x14ac:dyDescent="0.2">
      <c r="B9" s="39" t="s">
        <v>67</v>
      </c>
      <c r="C9" s="30">
        <f>C8*2</f>
        <v>16713.36</v>
      </c>
    </row>
  </sheetData>
  <phoneticPr fontId="3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1:R60"/>
  <sheetViews>
    <sheetView topLeftCell="A25" workbookViewId="0">
      <selection activeCell="E56" sqref="E56"/>
    </sheetView>
  </sheetViews>
  <sheetFormatPr defaultRowHeight="12.75" x14ac:dyDescent="0.2"/>
  <cols>
    <col min="1" max="1" width="39.140625" style="52" customWidth="1"/>
    <col min="2" max="2" width="7.28515625" style="52" customWidth="1"/>
    <col min="3" max="3" width="15.85546875" style="55" customWidth="1"/>
    <col min="4" max="4" width="13.7109375" style="55" bestFit="1" customWidth="1"/>
    <col min="5" max="5" width="12.28515625" style="55" bestFit="1" customWidth="1"/>
    <col min="6" max="17" width="12.28515625" style="52" bestFit="1" customWidth="1"/>
    <col min="18" max="16384" width="9.140625" style="52"/>
  </cols>
  <sheetData>
    <row r="1" spans="1:18" ht="18" x14ac:dyDescent="0.25">
      <c r="A1" s="58" t="s">
        <v>25</v>
      </c>
      <c r="B1" s="58"/>
      <c r="J1" s="59"/>
      <c r="K1" s="53"/>
      <c r="L1" s="58"/>
    </row>
    <row r="2" spans="1:18" ht="18" x14ac:dyDescent="0.25">
      <c r="A2" s="58" t="s">
        <v>78</v>
      </c>
      <c r="B2" s="58"/>
      <c r="G2" s="105"/>
      <c r="J2" s="53"/>
      <c r="K2" s="54"/>
      <c r="L2" s="58"/>
    </row>
    <row r="3" spans="1:18" ht="18" x14ac:dyDescent="0.25">
      <c r="A3" s="58" t="s">
        <v>26</v>
      </c>
      <c r="B3" s="58"/>
      <c r="E3" s="61"/>
      <c r="J3" s="53"/>
      <c r="K3" s="53"/>
      <c r="L3" s="58"/>
    </row>
    <row r="5" spans="1:18" x14ac:dyDescent="0.2">
      <c r="A5" s="52" t="s">
        <v>0</v>
      </c>
      <c r="C5" s="55">
        <v>12</v>
      </c>
    </row>
    <row r="6" spans="1:18" x14ac:dyDescent="0.2">
      <c r="A6" s="52" t="s">
        <v>27</v>
      </c>
      <c r="C6" s="60">
        <v>0.03</v>
      </c>
      <c r="E6" s="61">
        <f>1517/12/12</f>
        <v>10.534722222222223</v>
      </c>
    </row>
    <row r="7" spans="1:18" x14ac:dyDescent="0.2">
      <c r="A7" s="52" t="s">
        <v>28</v>
      </c>
      <c r="C7" s="60">
        <v>0.04</v>
      </c>
    </row>
    <row r="8" spans="1:18" x14ac:dyDescent="0.2">
      <c r="C8" s="61"/>
      <c r="E8" s="62"/>
      <c r="F8" s="63"/>
      <c r="G8" s="63"/>
      <c r="H8" s="63"/>
      <c r="I8" s="63"/>
      <c r="J8" s="63"/>
      <c r="K8" s="63"/>
      <c r="L8" s="63"/>
    </row>
    <row r="9" spans="1:18" s="1" customFormat="1" x14ac:dyDescent="0.2">
      <c r="A9" s="1" t="s">
        <v>27</v>
      </c>
      <c r="C9" s="64" t="s">
        <v>29</v>
      </c>
      <c r="D9" s="64" t="s">
        <v>30</v>
      </c>
      <c r="E9" s="65" t="s">
        <v>31</v>
      </c>
      <c r="F9" s="66" t="s">
        <v>37</v>
      </c>
      <c r="G9" s="66" t="s">
        <v>38</v>
      </c>
      <c r="H9" s="66" t="s">
        <v>39</v>
      </c>
      <c r="I9" s="66" t="s">
        <v>40</v>
      </c>
      <c r="J9" s="66" t="s">
        <v>41</v>
      </c>
      <c r="K9" s="66" t="s">
        <v>42</v>
      </c>
      <c r="L9" s="66" t="s">
        <v>43</v>
      </c>
      <c r="M9" s="66" t="s">
        <v>97</v>
      </c>
      <c r="N9" s="66" t="s">
        <v>98</v>
      </c>
      <c r="O9" s="66" t="s">
        <v>99</v>
      </c>
      <c r="P9" s="66" t="s">
        <v>100</v>
      </c>
      <c r="Q9" s="66" t="s">
        <v>101</v>
      </c>
    </row>
    <row r="10" spans="1:18" x14ac:dyDescent="0.2">
      <c r="A10" s="52" t="s">
        <v>184</v>
      </c>
      <c r="C10" s="61" t="e">
        <f>+'Rent Roll'!#REF!</f>
        <v>#REF!</v>
      </c>
      <c r="D10" s="61" t="e">
        <f>C10*$C$6+C10</f>
        <v>#REF!</v>
      </c>
      <c r="E10" s="61" t="e">
        <f t="shared" ref="E10:Q10" si="0">D10*$C$6+D10</f>
        <v>#REF!</v>
      </c>
      <c r="F10" s="61" t="e">
        <f t="shared" si="0"/>
        <v>#REF!</v>
      </c>
      <c r="G10" s="61" t="e">
        <f t="shared" si="0"/>
        <v>#REF!</v>
      </c>
      <c r="H10" s="61" t="e">
        <f t="shared" si="0"/>
        <v>#REF!</v>
      </c>
      <c r="I10" s="61" t="e">
        <f t="shared" si="0"/>
        <v>#REF!</v>
      </c>
      <c r="J10" s="61" t="e">
        <f t="shared" si="0"/>
        <v>#REF!</v>
      </c>
      <c r="K10" s="61" t="e">
        <f t="shared" si="0"/>
        <v>#REF!</v>
      </c>
      <c r="L10" s="61" t="e">
        <f t="shared" si="0"/>
        <v>#REF!</v>
      </c>
      <c r="M10" s="61" t="e">
        <f t="shared" si="0"/>
        <v>#REF!</v>
      </c>
      <c r="N10" s="61" t="e">
        <f t="shared" si="0"/>
        <v>#REF!</v>
      </c>
      <c r="O10" s="61" t="e">
        <f t="shared" si="0"/>
        <v>#REF!</v>
      </c>
      <c r="P10" s="61" t="e">
        <f t="shared" si="0"/>
        <v>#REF!</v>
      </c>
      <c r="Q10" s="61" t="e">
        <f t="shared" si="0"/>
        <v>#REF!</v>
      </c>
    </row>
    <row r="11" spans="1:18" x14ac:dyDescent="0.2">
      <c r="A11" s="52" t="s">
        <v>32</v>
      </c>
      <c r="B11" s="68">
        <v>0.09</v>
      </c>
      <c r="C11" s="61" t="e">
        <f>B11*C10</f>
        <v>#REF!</v>
      </c>
      <c r="D11" s="61" t="e">
        <f>D10*$B$11</f>
        <v>#REF!</v>
      </c>
      <c r="E11" s="61" t="e">
        <f t="shared" ref="E11:Q11" si="1">E10*$B$11</f>
        <v>#REF!</v>
      </c>
      <c r="F11" s="61" t="e">
        <f t="shared" si="1"/>
        <v>#REF!</v>
      </c>
      <c r="G11" s="61" t="e">
        <f t="shared" si="1"/>
        <v>#REF!</v>
      </c>
      <c r="H11" s="61" t="e">
        <f t="shared" si="1"/>
        <v>#REF!</v>
      </c>
      <c r="I11" s="61" t="e">
        <f t="shared" si="1"/>
        <v>#REF!</v>
      </c>
      <c r="J11" s="61" t="e">
        <f t="shared" si="1"/>
        <v>#REF!</v>
      </c>
      <c r="K11" s="61" t="e">
        <f t="shared" si="1"/>
        <v>#REF!</v>
      </c>
      <c r="L11" s="61" t="e">
        <f t="shared" si="1"/>
        <v>#REF!</v>
      </c>
      <c r="M11" s="61" t="e">
        <f t="shared" si="1"/>
        <v>#REF!</v>
      </c>
      <c r="N11" s="61" t="e">
        <f t="shared" si="1"/>
        <v>#REF!</v>
      </c>
      <c r="O11" s="61" t="e">
        <f t="shared" si="1"/>
        <v>#REF!</v>
      </c>
      <c r="P11" s="61" t="e">
        <f t="shared" si="1"/>
        <v>#REF!</v>
      </c>
      <c r="Q11" s="61" t="e">
        <f t="shared" si="1"/>
        <v>#REF!</v>
      </c>
    </row>
    <row r="12" spans="1:18" x14ac:dyDescent="0.2">
      <c r="A12" s="52" t="s">
        <v>185</v>
      </c>
      <c r="C12" s="61" t="e">
        <f>C10-C11</f>
        <v>#REF!</v>
      </c>
      <c r="D12" s="61" t="e">
        <f>D10-D11</f>
        <v>#REF!</v>
      </c>
      <c r="E12" s="61" t="e">
        <f t="shared" ref="E12:Q12" si="2">E10-E11</f>
        <v>#REF!</v>
      </c>
      <c r="F12" s="61" t="e">
        <f t="shared" si="2"/>
        <v>#REF!</v>
      </c>
      <c r="G12" s="61" t="e">
        <f t="shared" si="2"/>
        <v>#REF!</v>
      </c>
      <c r="H12" s="61" t="e">
        <f t="shared" si="2"/>
        <v>#REF!</v>
      </c>
      <c r="I12" s="61" t="e">
        <f t="shared" si="2"/>
        <v>#REF!</v>
      </c>
      <c r="J12" s="61" t="e">
        <f t="shared" si="2"/>
        <v>#REF!</v>
      </c>
      <c r="K12" s="61" t="e">
        <f t="shared" si="2"/>
        <v>#REF!</v>
      </c>
      <c r="L12" s="61" t="e">
        <f t="shared" si="2"/>
        <v>#REF!</v>
      </c>
      <c r="M12" s="61" t="e">
        <f t="shared" si="2"/>
        <v>#REF!</v>
      </c>
      <c r="N12" s="61" t="e">
        <f t="shared" si="2"/>
        <v>#REF!</v>
      </c>
      <c r="O12" s="61" t="e">
        <f t="shared" si="2"/>
        <v>#REF!</v>
      </c>
      <c r="P12" s="61" t="e">
        <f t="shared" si="2"/>
        <v>#REF!</v>
      </c>
      <c r="Q12" s="61" t="e">
        <f t="shared" si="2"/>
        <v>#REF!</v>
      </c>
    </row>
    <row r="13" spans="1:18" s="55" customFormat="1" x14ac:dyDescent="0.2">
      <c r="A13" s="55" t="s">
        <v>186</v>
      </c>
      <c r="C13" s="61" t="e">
        <f>'Rent Roll'!#REF!</f>
        <v>#REF!</v>
      </c>
      <c r="D13" s="61" t="e">
        <f>C13*$C$6+C13</f>
        <v>#REF!</v>
      </c>
      <c r="E13" s="61" t="e">
        <f t="shared" ref="E13:Q13" si="3">D13*$C$6+D13</f>
        <v>#REF!</v>
      </c>
      <c r="F13" s="61" t="e">
        <f t="shared" si="3"/>
        <v>#REF!</v>
      </c>
      <c r="G13" s="61" t="e">
        <f t="shared" si="3"/>
        <v>#REF!</v>
      </c>
      <c r="H13" s="61" t="e">
        <f t="shared" si="3"/>
        <v>#REF!</v>
      </c>
      <c r="I13" s="61" t="e">
        <f t="shared" si="3"/>
        <v>#REF!</v>
      </c>
      <c r="J13" s="61" t="e">
        <f t="shared" si="3"/>
        <v>#REF!</v>
      </c>
      <c r="K13" s="61" t="e">
        <f t="shared" si="3"/>
        <v>#REF!</v>
      </c>
      <c r="L13" s="61" t="e">
        <f t="shared" si="3"/>
        <v>#REF!</v>
      </c>
      <c r="M13" s="61" t="e">
        <f t="shared" si="3"/>
        <v>#REF!</v>
      </c>
      <c r="N13" s="61" t="e">
        <f t="shared" si="3"/>
        <v>#REF!</v>
      </c>
      <c r="O13" s="61" t="e">
        <f t="shared" si="3"/>
        <v>#REF!</v>
      </c>
      <c r="P13" s="61" t="e">
        <f t="shared" si="3"/>
        <v>#REF!</v>
      </c>
      <c r="Q13" s="61" t="e">
        <f t="shared" si="3"/>
        <v>#REF!</v>
      </c>
    </row>
    <row r="14" spans="1:18" s="55" customFormat="1" x14ac:dyDescent="0.2">
      <c r="A14" s="55" t="s">
        <v>187</v>
      </c>
      <c r="B14" s="60">
        <v>0.09</v>
      </c>
      <c r="C14" s="61" t="e">
        <f>C13*B14</f>
        <v>#REF!</v>
      </c>
      <c r="D14" s="61" t="e">
        <f t="shared" ref="D14:Q14" si="4">D13*$B$14</f>
        <v>#REF!</v>
      </c>
      <c r="E14" s="61" t="e">
        <f t="shared" si="4"/>
        <v>#REF!</v>
      </c>
      <c r="F14" s="61" t="e">
        <f t="shared" si="4"/>
        <v>#REF!</v>
      </c>
      <c r="G14" s="61" t="e">
        <f t="shared" si="4"/>
        <v>#REF!</v>
      </c>
      <c r="H14" s="61" t="e">
        <f t="shared" si="4"/>
        <v>#REF!</v>
      </c>
      <c r="I14" s="61" t="e">
        <f t="shared" si="4"/>
        <v>#REF!</v>
      </c>
      <c r="J14" s="61" t="e">
        <f t="shared" si="4"/>
        <v>#REF!</v>
      </c>
      <c r="K14" s="61" t="e">
        <f t="shared" si="4"/>
        <v>#REF!</v>
      </c>
      <c r="L14" s="61" t="e">
        <f t="shared" si="4"/>
        <v>#REF!</v>
      </c>
      <c r="M14" s="61" t="e">
        <f t="shared" si="4"/>
        <v>#REF!</v>
      </c>
      <c r="N14" s="61" t="e">
        <f t="shared" si="4"/>
        <v>#REF!</v>
      </c>
      <c r="O14" s="61" t="e">
        <f t="shared" si="4"/>
        <v>#REF!</v>
      </c>
      <c r="P14" s="61" t="e">
        <f t="shared" si="4"/>
        <v>#REF!</v>
      </c>
      <c r="Q14" s="61" t="e">
        <f t="shared" si="4"/>
        <v>#REF!</v>
      </c>
      <c r="R14" s="61"/>
    </row>
    <row r="15" spans="1:18" s="55" customFormat="1" x14ac:dyDescent="0.2">
      <c r="A15" s="55" t="s">
        <v>188</v>
      </c>
      <c r="C15" s="61" t="e">
        <f>C13-C14</f>
        <v>#REF!</v>
      </c>
      <c r="D15" s="61" t="e">
        <f t="shared" ref="D15:Q15" si="5">D13-D14</f>
        <v>#REF!</v>
      </c>
      <c r="E15" s="61" t="e">
        <f t="shared" si="5"/>
        <v>#REF!</v>
      </c>
      <c r="F15" s="61" t="e">
        <f t="shared" si="5"/>
        <v>#REF!</v>
      </c>
      <c r="G15" s="61" t="e">
        <f t="shared" si="5"/>
        <v>#REF!</v>
      </c>
      <c r="H15" s="61" t="e">
        <f t="shared" si="5"/>
        <v>#REF!</v>
      </c>
      <c r="I15" s="61" t="e">
        <f t="shared" si="5"/>
        <v>#REF!</v>
      </c>
      <c r="J15" s="61" t="e">
        <f t="shared" si="5"/>
        <v>#REF!</v>
      </c>
      <c r="K15" s="61" t="e">
        <f t="shared" si="5"/>
        <v>#REF!</v>
      </c>
      <c r="L15" s="61" t="e">
        <f t="shared" si="5"/>
        <v>#REF!</v>
      </c>
      <c r="M15" s="61" t="e">
        <f t="shared" si="5"/>
        <v>#REF!</v>
      </c>
      <c r="N15" s="61" t="e">
        <f t="shared" si="5"/>
        <v>#REF!</v>
      </c>
      <c r="O15" s="61" t="e">
        <f t="shared" si="5"/>
        <v>#REF!</v>
      </c>
      <c r="P15" s="61" t="e">
        <f t="shared" si="5"/>
        <v>#REF!</v>
      </c>
      <c r="Q15" s="61" t="e">
        <f t="shared" si="5"/>
        <v>#REF!</v>
      </c>
    </row>
    <row r="16" spans="1:18" s="55" customFormat="1" x14ac:dyDescent="0.2">
      <c r="A16" s="55" t="s">
        <v>189</v>
      </c>
      <c r="C16" s="61" t="e">
        <f>C12+C15</f>
        <v>#REF!</v>
      </c>
      <c r="D16" s="61" t="e">
        <f t="shared" ref="D16:Q16" si="6">D15+D12</f>
        <v>#REF!</v>
      </c>
      <c r="E16" s="61" t="e">
        <f t="shared" si="6"/>
        <v>#REF!</v>
      </c>
      <c r="F16" s="61" t="e">
        <f t="shared" si="6"/>
        <v>#REF!</v>
      </c>
      <c r="G16" s="61" t="e">
        <f t="shared" si="6"/>
        <v>#REF!</v>
      </c>
      <c r="H16" s="61" t="e">
        <f t="shared" si="6"/>
        <v>#REF!</v>
      </c>
      <c r="I16" s="61" t="e">
        <f t="shared" si="6"/>
        <v>#REF!</v>
      </c>
      <c r="J16" s="61" t="e">
        <f t="shared" si="6"/>
        <v>#REF!</v>
      </c>
      <c r="K16" s="61" t="e">
        <f t="shared" si="6"/>
        <v>#REF!</v>
      </c>
      <c r="L16" s="61" t="e">
        <f t="shared" si="6"/>
        <v>#REF!</v>
      </c>
      <c r="M16" s="61" t="e">
        <f t="shared" si="6"/>
        <v>#REF!</v>
      </c>
      <c r="N16" s="61" t="e">
        <f t="shared" si="6"/>
        <v>#REF!</v>
      </c>
      <c r="O16" s="61" t="e">
        <f t="shared" si="6"/>
        <v>#REF!</v>
      </c>
      <c r="P16" s="61" t="e">
        <f t="shared" si="6"/>
        <v>#REF!</v>
      </c>
      <c r="Q16" s="61" t="e">
        <f t="shared" si="6"/>
        <v>#REF!</v>
      </c>
    </row>
    <row r="17" spans="1:17" s="110" customFormat="1" x14ac:dyDescent="0.2">
      <c r="A17" s="110" t="s">
        <v>190</v>
      </c>
      <c r="C17" s="111">
        <v>1517</v>
      </c>
      <c r="D17" s="111">
        <f>C17*$C$6+C17</f>
        <v>1562.51</v>
      </c>
      <c r="E17" s="111">
        <f t="shared" ref="E17:Q17" si="7">D17*$C$6+D17</f>
        <v>1609.3852999999999</v>
      </c>
      <c r="F17" s="111">
        <f t="shared" si="7"/>
        <v>1657.6668589999999</v>
      </c>
      <c r="G17" s="111">
        <f t="shared" si="7"/>
        <v>1707.3968647699999</v>
      </c>
      <c r="H17" s="111">
        <f t="shared" si="7"/>
        <v>1758.6187707130998</v>
      </c>
      <c r="I17" s="111">
        <f t="shared" si="7"/>
        <v>1811.3773338344929</v>
      </c>
      <c r="J17" s="111">
        <f t="shared" si="7"/>
        <v>1865.7186538495278</v>
      </c>
      <c r="K17" s="111">
        <f t="shared" si="7"/>
        <v>1921.6902134650136</v>
      </c>
      <c r="L17" s="111">
        <f t="shared" si="7"/>
        <v>1979.340919868964</v>
      </c>
      <c r="M17" s="111">
        <f t="shared" si="7"/>
        <v>2038.7211474650328</v>
      </c>
      <c r="N17" s="111">
        <f t="shared" si="7"/>
        <v>2099.8827818889836</v>
      </c>
      <c r="O17" s="111">
        <f t="shared" si="7"/>
        <v>2162.879265345653</v>
      </c>
      <c r="P17" s="111">
        <f t="shared" si="7"/>
        <v>2227.7656433060224</v>
      </c>
      <c r="Q17" s="111">
        <f t="shared" si="7"/>
        <v>2294.598612605203</v>
      </c>
    </row>
    <row r="18" spans="1:17" s="125" customFormat="1" x14ac:dyDescent="0.2">
      <c r="A18" s="125" t="s">
        <v>197</v>
      </c>
      <c r="C18" s="107"/>
      <c r="D18" s="107">
        <v>130.28696000001264</v>
      </c>
      <c r="E18" s="107">
        <v>293.82572879999714</v>
      </c>
      <c r="F18" s="107">
        <v>492.78758866400284</v>
      </c>
      <c r="G18" s="107">
        <v>729.45590944393427</v>
      </c>
      <c r="H18" s="107">
        <v>1006.2313891720498</v>
      </c>
      <c r="I18" s="107">
        <v>1325.6375269897826</v>
      </c>
      <c r="J18" s="107">
        <v>1690.3263383877879</v>
      </c>
      <c r="K18" s="107">
        <v>2103.0843231512517</v>
      </c>
      <c r="L18" s="107">
        <v>2566.8386968420832</v>
      </c>
      <c r="M18" s="107">
        <v>3084.6638971034567</v>
      </c>
      <c r="N18" s="107">
        <v>3659.7883765470042</v>
      </c>
      <c r="O18" s="107">
        <v>4295.6016944750363</v>
      </c>
      <c r="P18" s="107">
        <v>4995.6619202061192</v>
      </c>
      <c r="Q18" s="107">
        <v>5763.7033613051253</v>
      </c>
    </row>
    <row r="19" spans="1:17" s="64" customFormat="1" x14ac:dyDescent="0.2">
      <c r="A19" s="64" t="s">
        <v>108</v>
      </c>
      <c r="C19" s="109" t="e">
        <f>C18+C17+C16</f>
        <v>#REF!</v>
      </c>
      <c r="D19" s="109" t="e">
        <f t="shared" ref="D19:Q19" si="8">D18+D17+D16</f>
        <v>#REF!</v>
      </c>
      <c r="E19" s="109" t="e">
        <f t="shared" si="8"/>
        <v>#REF!</v>
      </c>
      <c r="F19" s="109" t="e">
        <f t="shared" si="8"/>
        <v>#REF!</v>
      </c>
      <c r="G19" s="109" t="e">
        <f t="shared" si="8"/>
        <v>#REF!</v>
      </c>
      <c r="H19" s="109" t="e">
        <f t="shared" si="8"/>
        <v>#REF!</v>
      </c>
      <c r="I19" s="109" t="e">
        <f t="shared" si="8"/>
        <v>#REF!</v>
      </c>
      <c r="J19" s="109" t="e">
        <f t="shared" si="8"/>
        <v>#REF!</v>
      </c>
      <c r="K19" s="109" t="e">
        <f t="shared" si="8"/>
        <v>#REF!</v>
      </c>
      <c r="L19" s="109" t="e">
        <f t="shared" si="8"/>
        <v>#REF!</v>
      </c>
      <c r="M19" s="109" t="e">
        <f t="shared" si="8"/>
        <v>#REF!</v>
      </c>
      <c r="N19" s="109" t="e">
        <f t="shared" si="8"/>
        <v>#REF!</v>
      </c>
      <c r="O19" s="109" t="e">
        <f t="shared" si="8"/>
        <v>#REF!</v>
      </c>
      <c r="P19" s="109" t="e">
        <f t="shared" si="8"/>
        <v>#REF!</v>
      </c>
      <c r="Q19" s="109" t="e">
        <f t="shared" si="8"/>
        <v>#REF!</v>
      </c>
    </row>
    <row r="20" spans="1:17" s="55" customFormat="1" x14ac:dyDescent="0.2">
      <c r="C20" s="61" t="e">
        <f>C16-16000</f>
        <v>#REF!</v>
      </c>
      <c r="D20" s="61" t="e">
        <f t="shared" ref="D20:Q20" si="9">D16-16000</f>
        <v>#REF!</v>
      </c>
      <c r="E20" s="61" t="e">
        <f t="shared" si="9"/>
        <v>#REF!</v>
      </c>
      <c r="F20" s="61" t="e">
        <f t="shared" si="9"/>
        <v>#REF!</v>
      </c>
      <c r="G20" s="61" t="e">
        <f t="shared" si="9"/>
        <v>#REF!</v>
      </c>
      <c r="H20" s="61" t="e">
        <f t="shared" si="9"/>
        <v>#REF!</v>
      </c>
      <c r="I20" s="61" t="e">
        <f t="shared" si="9"/>
        <v>#REF!</v>
      </c>
      <c r="J20" s="61" t="e">
        <f t="shared" si="9"/>
        <v>#REF!</v>
      </c>
      <c r="K20" s="61" t="e">
        <f t="shared" si="9"/>
        <v>#REF!</v>
      </c>
      <c r="L20" s="61" t="e">
        <f t="shared" si="9"/>
        <v>#REF!</v>
      </c>
      <c r="M20" s="61" t="e">
        <f t="shared" si="9"/>
        <v>#REF!</v>
      </c>
      <c r="N20" s="61" t="e">
        <f t="shared" si="9"/>
        <v>#REF!</v>
      </c>
      <c r="O20" s="61" t="e">
        <f t="shared" si="9"/>
        <v>#REF!</v>
      </c>
      <c r="P20" s="61" t="e">
        <f t="shared" si="9"/>
        <v>#REF!</v>
      </c>
      <c r="Q20" s="61" t="e">
        <f t="shared" si="9"/>
        <v>#REF!</v>
      </c>
    </row>
    <row r="21" spans="1:17" s="55" customFormat="1" x14ac:dyDescent="0.2">
      <c r="C21" s="56"/>
      <c r="D21" s="56"/>
      <c r="E21" s="76"/>
      <c r="F21" s="76"/>
      <c r="G21" s="76"/>
      <c r="H21" s="76"/>
      <c r="I21" s="76"/>
      <c r="J21" s="76"/>
      <c r="K21" s="76"/>
      <c r="L21" s="76"/>
      <c r="M21" s="56"/>
      <c r="N21" s="56"/>
      <c r="O21" s="56"/>
      <c r="P21" s="56"/>
      <c r="Q21" s="56"/>
    </row>
    <row r="22" spans="1:17" s="55" customFormat="1" x14ac:dyDescent="0.2">
      <c r="A22" s="64" t="s">
        <v>28</v>
      </c>
      <c r="C22" s="56"/>
      <c r="D22" s="56"/>
      <c r="E22" s="76"/>
      <c r="F22" s="76"/>
      <c r="G22" s="76"/>
      <c r="H22" s="76"/>
      <c r="I22" s="76"/>
      <c r="J22" s="76"/>
      <c r="K22" s="76"/>
      <c r="L22" s="76"/>
      <c r="M22" s="56"/>
      <c r="N22" s="56"/>
      <c r="O22" s="56"/>
      <c r="P22" s="56"/>
      <c r="Q22" s="56"/>
    </row>
    <row r="23" spans="1:17" s="55" customFormat="1" ht="25.5" x14ac:dyDescent="0.2">
      <c r="A23" s="69" t="s">
        <v>106</v>
      </c>
      <c r="C23" s="127">
        <v>16000</v>
      </c>
      <c r="D23" s="56">
        <f t="shared" ref="D23:Q26" si="10">C23*$C$7+C23</f>
        <v>16640</v>
      </c>
      <c r="E23" s="56">
        <f t="shared" si="10"/>
        <v>17305.599999999999</v>
      </c>
      <c r="F23" s="56">
        <f t="shared" si="10"/>
        <v>17997.823999999997</v>
      </c>
      <c r="G23" s="56">
        <f t="shared" si="10"/>
        <v>18717.736959999998</v>
      </c>
      <c r="H23" s="56">
        <f t="shared" si="10"/>
        <v>19466.446438399998</v>
      </c>
      <c r="I23" s="56">
        <f t="shared" si="10"/>
        <v>20245.104295935998</v>
      </c>
      <c r="J23" s="56">
        <f t="shared" si="10"/>
        <v>21054.908467773439</v>
      </c>
      <c r="K23" s="56">
        <f t="shared" si="10"/>
        <v>21897.104806484378</v>
      </c>
      <c r="L23" s="56">
        <f t="shared" si="10"/>
        <v>22772.988998743753</v>
      </c>
      <c r="M23" s="56">
        <f t="shared" si="10"/>
        <v>23683.908558693503</v>
      </c>
      <c r="N23" s="56">
        <f t="shared" si="10"/>
        <v>24631.264901041242</v>
      </c>
      <c r="O23" s="56">
        <f t="shared" si="10"/>
        <v>25616.515497082892</v>
      </c>
      <c r="P23" s="56">
        <f t="shared" si="10"/>
        <v>26641.176116966206</v>
      </c>
      <c r="Q23" s="56">
        <f t="shared" si="10"/>
        <v>27706.823161644854</v>
      </c>
    </row>
    <row r="24" spans="1:17" s="55" customFormat="1" x14ac:dyDescent="0.2">
      <c r="A24" s="55" t="s">
        <v>33</v>
      </c>
      <c r="B24" s="55">
        <v>550</v>
      </c>
      <c r="C24" s="108">
        <v>6600</v>
      </c>
      <c r="D24" s="56">
        <f t="shared" si="10"/>
        <v>6864</v>
      </c>
      <c r="E24" s="56">
        <f t="shared" si="10"/>
        <v>7138.56</v>
      </c>
      <c r="F24" s="56">
        <f t="shared" si="10"/>
        <v>7424.1024000000007</v>
      </c>
      <c r="G24" s="56">
        <f t="shared" si="10"/>
        <v>7721.0664960000004</v>
      </c>
      <c r="H24" s="56">
        <f t="shared" si="10"/>
        <v>8029.9091558400005</v>
      </c>
      <c r="I24" s="56">
        <f t="shared" si="10"/>
        <v>8351.1055220735998</v>
      </c>
      <c r="J24" s="56">
        <f t="shared" si="10"/>
        <v>8685.1497429565443</v>
      </c>
      <c r="K24" s="56">
        <f t="shared" si="10"/>
        <v>9032.5557326748058</v>
      </c>
      <c r="L24" s="56">
        <f t="shared" si="10"/>
        <v>9393.8579619817974</v>
      </c>
      <c r="M24" s="56">
        <f t="shared" si="10"/>
        <v>9769.6122804610695</v>
      </c>
      <c r="N24" s="56">
        <f t="shared" si="10"/>
        <v>10160.396771679512</v>
      </c>
      <c r="O24" s="56">
        <f t="shared" si="10"/>
        <v>10566.812642546693</v>
      </c>
      <c r="P24" s="56">
        <f t="shared" si="10"/>
        <v>10989.485148248561</v>
      </c>
      <c r="Q24" s="56">
        <f t="shared" si="10"/>
        <v>11429.064554178503</v>
      </c>
    </row>
    <row r="25" spans="1:17" s="55" customFormat="1" x14ac:dyDescent="0.2">
      <c r="A25" s="55" t="s">
        <v>180</v>
      </c>
      <c r="C25" s="127">
        <v>5500</v>
      </c>
      <c r="D25" s="56">
        <f t="shared" si="10"/>
        <v>5720</v>
      </c>
      <c r="E25" s="56">
        <f t="shared" si="10"/>
        <v>5948.8</v>
      </c>
      <c r="F25" s="56">
        <f t="shared" si="10"/>
        <v>6186.7520000000004</v>
      </c>
      <c r="G25" s="56">
        <f t="shared" si="10"/>
        <v>6434.2220800000005</v>
      </c>
      <c r="H25" s="56">
        <f t="shared" si="10"/>
        <v>6691.5909632000003</v>
      </c>
      <c r="I25" s="56">
        <f t="shared" si="10"/>
        <v>6959.2546017280001</v>
      </c>
      <c r="J25" s="56">
        <f t="shared" si="10"/>
        <v>7237.6247857971202</v>
      </c>
      <c r="K25" s="56">
        <f t="shared" si="10"/>
        <v>7527.1297772290054</v>
      </c>
      <c r="L25" s="56">
        <f t="shared" si="10"/>
        <v>7828.214968318166</v>
      </c>
      <c r="M25" s="56">
        <f t="shared" si="10"/>
        <v>8141.3435670508925</v>
      </c>
      <c r="N25" s="56">
        <f t="shared" si="10"/>
        <v>8466.9973097329275</v>
      </c>
      <c r="O25" s="56">
        <f t="shared" si="10"/>
        <v>8805.6772021222441</v>
      </c>
      <c r="P25" s="56">
        <f t="shared" si="10"/>
        <v>9157.9042902071342</v>
      </c>
      <c r="Q25" s="56">
        <f t="shared" si="10"/>
        <v>9524.2204618154192</v>
      </c>
    </row>
    <row r="26" spans="1:17" s="55" customFormat="1" x14ac:dyDescent="0.2">
      <c r="A26" s="69" t="s">
        <v>181</v>
      </c>
      <c r="B26" s="89"/>
      <c r="C26" s="127">
        <v>9578</v>
      </c>
      <c r="D26" s="56">
        <f t="shared" si="10"/>
        <v>9961.1200000000008</v>
      </c>
      <c r="E26" s="56">
        <f t="shared" si="10"/>
        <v>10359.5648</v>
      </c>
      <c r="F26" s="56">
        <f t="shared" si="10"/>
        <v>10773.947392</v>
      </c>
      <c r="G26" s="56">
        <f t="shared" si="10"/>
        <v>11204.90528768</v>
      </c>
      <c r="H26" s="56">
        <f t="shared" si="10"/>
        <v>11653.1014991872</v>
      </c>
      <c r="I26" s="56">
        <f t="shared" si="10"/>
        <v>12119.225559154687</v>
      </c>
      <c r="J26" s="56">
        <f t="shared" si="10"/>
        <v>12603.994581520874</v>
      </c>
      <c r="K26" s="56">
        <f t="shared" si="10"/>
        <v>13108.154364781709</v>
      </c>
      <c r="L26" s="56">
        <f t="shared" si="10"/>
        <v>13632.480539372977</v>
      </c>
      <c r="M26" s="56">
        <f t="shared" si="10"/>
        <v>14177.779760947895</v>
      </c>
      <c r="N26" s="56">
        <f t="shared" si="10"/>
        <v>14744.890951385811</v>
      </c>
      <c r="O26" s="56">
        <f t="shared" si="10"/>
        <v>15334.686589441244</v>
      </c>
      <c r="P26" s="56">
        <f t="shared" si="10"/>
        <v>15948.074053018894</v>
      </c>
      <c r="Q26" s="56">
        <f t="shared" si="10"/>
        <v>16585.997015139648</v>
      </c>
    </row>
    <row r="27" spans="1:17" s="55" customFormat="1" x14ac:dyDescent="0.2">
      <c r="A27" s="55" t="s">
        <v>107</v>
      </c>
      <c r="B27" s="103">
        <v>0.1</v>
      </c>
      <c r="C27" s="126" t="e">
        <f>(C19)*$B$27</f>
        <v>#REF!</v>
      </c>
      <c r="D27" s="126" t="e">
        <f>(D19)*$B$27</f>
        <v>#REF!</v>
      </c>
      <c r="E27" s="126" t="e">
        <f t="shared" ref="E27:Q27" si="11">(E19)*$B$27</f>
        <v>#REF!</v>
      </c>
      <c r="F27" s="126" t="e">
        <f t="shared" si="11"/>
        <v>#REF!</v>
      </c>
      <c r="G27" s="126" t="e">
        <f t="shared" si="11"/>
        <v>#REF!</v>
      </c>
      <c r="H27" s="126" t="e">
        <f t="shared" si="11"/>
        <v>#REF!</v>
      </c>
      <c r="I27" s="126" t="e">
        <f t="shared" si="11"/>
        <v>#REF!</v>
      </c>
      <c r="J27" s="126" t="e">
        <f t="shared" si="11"/>
        <v>#REF!</v>
      </c>
      <c r="K27" s="126" t="e">
        <f t="shared" si="11"/>
        <v>#REF!</v>
      </c>
      <c r="L27" s="126" t="e">
        <f t="shared" si="11"/>
        <v>#REF!</v>
      </c>
      <c r="M27" s="126" t="e">
        <f t="shared" si="11"/>
        <v>#REF!</v>
      </c>
      <c r="N27" s="126" t="e">
        <f t="shared" si="11"/>
        <v>#REF!</v>
      </c>
      <c r="O27" s="126" t="e">
        <f t="shared" si="11"/>
        <v>#REF!</v>
      </c>
      <c r="P27" s="126" t="e">
        <f t="shared" si="11"/>
        <v>#REF!</v>
      </c>
      <c r="Q27" s="126" t="e">
        <f t="shared" si="11"/>
        <v>#REF!</v>
      </c>
    </row>
    <row r="28" spans="1:17" s="55" customFormat="1" x14ac:dyDescent="0.2">
      <c r="A28" s="55" t="s">
        <v>182</v>
      </c>
      <c r="C28" s="127">
        <v>15360</v>
      </c>
      <c r="D28" s="56">
        <f>C28*$C$7+C28</f>
        <v>15974.4</v>
      </c>
      <c r="E28" s="56">
        <f t="shared" ref="E28:Q31" si="12">D28*$C$7+D28</f>
        <v>16613.376</v>
      </c>
      <c r="F28" s="56">
        <f t="shared" si="12"/>
        <v>17277.911039999999</v>
      </c>
      <c r="G28" s="56">
        <f t="shared" si="12"/>
        <v>17969.027481599998</v>
      </c>
      <c r="H28" s="56">
        <f t="shared" si="12"/>
        <v>18687.788580863999</v>
      </c>
      <c r="I28" s="56">
        <f t="shared" si="12"/>
        <v>19435.300124098558</v>
      </c>
      <c r="J28" s="56">
        <f t="shared" si="12"/>
        <v>20212.7121290625</v>
      </c>
      <c r="K28" s="56">
        <f t="shared" si="12"/>
        <v>21021.220614225</v>
      </c>
      <c r="L28" s="56">
        <f t="shared" si="12"/>
        <v>21862.069438793998</v>
      </c>
      <c r="M28" s="56">
        <f t="shared" si="12"/>
        <v>22736.552216345757</v>
      </c>
      <c r="N28" s="56">
        <f t="shared" si="12"/>
        <v>23646.014304999586</v>
      </c>
      <c r="O28" s="56">
        <f t="shared" si="12"/>
        <v>24591.85487719957</v>
      </c>
      <c r="P28" s="56">
        <f t="shared" si="12"/>
        <v>25575.529072287554</v>
      </c>
      <c r="Q28" s="56">
        <f t="shared" si="12"/>
        <v>26598.550235179056</v>
      </c>
    </row>
    <row r="29" spans="1:17" s="55" customFormat="1" x14ac:dyDescent="0.2">
      <c r="A29" s="55" t="s">
        <v>183</v>
      </c>
      <c r="C29" s="127">
        <v>10000</v>
      </c>
      <c r="D29" s="76">
        <f>C29*$C$7+C29</f>
        <v>10400</v>
      </c>
      <c r="E29" s="76">
        <f t="shared" si="12"/>
        <v>10816</v>
      </c>
      <c r="F29" s="76">
        <f t="shared" si="12"/>
        <v>11248.64</v>
      </c>
      <c r="G29" s="76">
        <f t="shared" si="12"/>
        <v>11698.585599999999</v>
      </c>
      <c r="H29" s="76">
        <f t="shared" si="12"/>
        <v>12166.529023999998</v>
      </c>
      <c r="I29" s="76">
        <f t="shared" si="12"/>
        <v>12653.190184959998</v>
      </c>
      <c r="J29" s="76">
        <f t="shared" si="12"/>
        <v>13159.317792358397</v>
      </c>
      <c r="K29" s="76">
        <f t="shared" si="12"/>
        <v>13685.690504052733</v>
      </c>
      <c r="L29" s="76">
        <f t="shared" si="12"/>
        <v>14233.118124214841</v>
      </c>
      <c r="M29" s="76">
        <f t="shared" si="12"/>
        <v>14802.442849183435</v>
      </c>
      <c r="N29" s="76">
        <f t="shared" si="12"/>
        <v>15394.540563150773</v>
      </c>
      <c r="O29" s="76">
        <f t="shared" si="12"/>
        <v>16010.322185676803</v>
      </c>
      <c r="P29" s="76">
        <f t="shared" si="12"/>
        <v>16650.735073103875</v>
      </c>
      <c r="Q29" s="76">
        <f t="shared" si="12"/>
        <v>17316.764476028031</v>
      </c>
    </row>
    <row r="30" spans="1:17" s="55" customFormat="1" x14ac:dyDescent="0.2">
      <c r="A30" s="55" t="s">
        <v>36</v>
      </c>
      <c r="B30" s="89">
        <v>420</v>
      </c>
      <c r="C30" s="127">
        <f>B30*C5</f>
        <v>5040</v>
      </c>
      <c r="D30" s="56">
        <f t="shared" ref="D30:D31" si="13">C30*$C$7+C30</f>
        <v>5241.6000000000004</v>
      </c>
      <c r="E30" s="56">
        <f t="shared" si="12"/>
        <v>5451.2640000000001</v>
      </c>
      <c r="F30" s="56">
        <f t="shared" si="12"/>
        <v>5669.3145599999998</v>
      </c>
      <c r="G30" s="56">
        <f t="shared" si="12"/>
        <v>5896.0871423999997</v>
      </c>
      <c r="H30" s="56">
        <f t="shared" si="12"/>
        <v>6131.930628096</v>
      </c>
      <c r="I30" s="56">
        <f t="shared" si="12"/>
        <v>6377.2078532198402</v>
      </c>
      <c r="J30" s="56">
        <f t="shared" si="12"/>
        <v>6632.2961673486334</v>
      </c>
      <c r="K30" s="56">
        <f t="shared" si="12"/>
        <v>6897.5880140425788</v>
      </c>
      <c r="L30" s="56">
        <f t="shared" si="12"/>
        <v>7173.4915346042817</v>
      </c>
      <c r="M30" s="56">
        <f t="shared" si="12"/>
        <v>7460.4311959884526</v>
      </c>
      <c r="N30" s="56">
        <f t="shared" si="12"/>
        <v>7758.8484438279911</v>
      </c>
      <c r="O30" s="56">
        <f t="shared" si="12"/>
        <v>8069.2023815811108</v>
      </c>
      <c r="P30" s="56">
        <f t="shared" si="12"/>
        <v>8391.9704768443553</v>
      </c>
      <c r="Q30" s="56">
        <f t="shared" si="12"/>
        <v>8727.6492959181287</v>
      </c>
    </row>
    <row r="31" spans="1:17" s="55" customFormat="1" ht="13.5" thickBot="1" x14ac:dyDescent="0.25">
      <c r="A31" s="55" t="s">
        <v>34</v>
      </c>
      <c r="B31" s="89">
        <v>440</v>
      </c>
      <c r="C31" s="127">
        <f>B31*C5</f>
        <v>5280</v>
      </c>
      <c r="D31" s="56">
        <f t="shared" si="13"/>
        <v>5491.2</v>
      </c>
      <c r="E31" s="56">
        <f t="shared" si="12"/>
        <v>5710.848</v>
      </c>
      <c r="F31" s="56">
        <f t="shared" si="12"/>
        <v>5939.2819200000004</v>
      </c>
      <c r="G31" s="56">
        <f t="shared" si="12"/>
        <v>6176.8531968000007</v>
      </c>
      <c r="H31" s="56">
        <f t="shared" si="12"/>
        <v>6423.9273246720004</v>
      </c>
      <c r="I31" s="56">
        <f t="shared" si="12"/>
        <v>6680.88441765888</v>
      </c>
      <c r="J31" s="56">
        <f t="shared" si="12"/>
        <v>6948.1197943652351</v>
      </c>
      <c r="K31" s="56">
        <f t="shared" si="12"/>
        <v>7226.0445861398448</v>
      </c>
      <c r="L31" s="56">
        <f t="shared" si="12"/>
        <v>7515.0863695854387</v>
      </c>
      <c r="M31" s="56">
        <f t="shared" si="12"/>
        <v>7815.6898243688565</v>
      </c>
      <c r="N31" s="56">
        <f t="shared" si="12"/>
        <v>8128.3174173436109</v>
      </c>
      <c r="O31" s="56">
        <f t="shared" si="12"/>
        <v>8453.4501140373559</v>
      </c>
      <c r="P31" s="56">
        <f t="shared" si="12"/>
        <v>8791.588118598851</v>
      </c>
      <c r="Q31" s="56">
        <f t="shared" si="12"/>
        <v>9143.2516433428045</v>
      </c>
    </row>
    <row r="32" spans="1:17" s="64" customFormat="1" ht="13.5" thickBot="1" x14ac:dyDescent="0.25">
      <c r="A32" s="64" t="s">
        <v>35</v>
      </c>
      <c r="B32" s="57"/>
      <c r="C32" s="114" t="e">
        <f>SUM(C23:C31)</f>
        <v>#REF!</v>
      </c>
      <c r="D32" s="57" t="e">
        <f t="shared" ref="D32:Q32" si="14">SUM(D23:D31)</f>
        <v>#REF!</v>
      </c>
      <c r="E32" s="57" t="e">
        <f t="shared" si="14"/>
        <v>#REF!</v>
      </c>
      <c r="F32" s="57" t="e">
        <f t="shared" si="14"/>
        <v>#REF!</v>
      </c>
      <c r="G32" s="57" t="e">
        <f t="shared" si="14"/>
        <v>#REF!</v>
      </c>
      <c r="H32" s="57" t="e">
        <f t="shared" si="14"/>
        <v>#REF!</v>
      </c>
      <c r="I32" s="57" t="e">
        <f t="shared" si="14"/>
        <v>#REF!</v>
      </c>
      <c r="J32" s="57" t="e">
        <f t="shared" si="14"/>
        <v>#REF!</v>
      </c>
      <c r="K32" s="57" t="e">
        <f t="shared" si="14"/>
        <v>#REF!</v>
      </c>
      <c r="L32" s="57" t="e">
        <f t="shared" si="14"/>
        <v>#REF!</v>
      </c>
      <c r="M32" s="57" t="e">
        <f t="shared" si="14"/>
        <v>#REF!</v>
      </c>
      <c r="N32" s="57" t="e">
        <f t="shared" si="14"/>
        <v>#REF!</v>
      </c>
      <c r="O32" s="57" t="e">
        <f t="shared" si="14"/>
        <v>#REF!</v>
      </c>
      <c r="P32" s="57" t="e">
        <f t="shared" si="14"/>
        <v>#REF!</v>
      </c>
      <c r="Q32" s="57" t="e">
        <f t="shared" si="14"/>
        <v>#REF!</v>
      </c>
    </row>
    <row r="33" spans="1:17" s="55" customFormat="1" ht="13.5" thickBot="1" x14ac:dyDescent="0.25"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</row>
    <row r="34" spans="1:17" s="91" customFormat="1" ht="13.5" thickBot="1" x14ac:dyDescent="0.25">
      <c r="A34" s="90" t="s">
        <v>72</v>
      </c>
      <c r="C34" s="115" t="e">
        <f>C19-C32</f>
        <v>#REF!</v>
      </c>
      <c r="D34" s="56" t="e">
        <f t="shared" ref="D34:Q34" si="15">D19-D32</f>
        <v>#REF!</v>
      </c>
      <c r="E34" s="56" t="e">
        <f t="shared" si="15"/>
        <v>#REF!</v>
      </c>
      <c r="F34" s="56" t="e">
        <f t="shared" si="15"/>
        <v>#REF!</v>
      </c>
      <c r="G34" s="56" t="e">
        <f t="shared" si="15"/>
        <v>#REF!</v>
      </c>
      <c r="H34" s="56" t="e">
        <f t="shared" si="15"/>
        <v>#REF!</v>
      </c>
      <c r="I34" s="56" t="e">
        <f t="shared" si="15"/>
        <v>#REF!</v>
      </c>
      <c r="J34" s="56" t="e">
        <f t="shared" si="15"/>
        <v>#REF!</v>
      </c>
      <c r="K34" s="56" t="e">
        <f t="shared" si="15"/>
        <v>#REF!</v>
      </c>
      <c r="L34" s="56" t="e">
        <f t="shared" si="15"/>
        <v>#REF!</v>
      </c>
      <c r="M34" s="56" t="e">
        <f t="shared" si="15"/>
        <v>#REF!</v>
      </c>
      <c r="N34" s="56" t="e">
        <f t="shared" si="15"/>
        <v>#REF!</v>
      </c>
      <c r="O34" s="56" t="e">
        <f t="shared" si="15"/>
        <v>#REF!</v>
      </c>
      <c r="P34" s="56" t="e">
        <f t="shared" si="15"/>
        <v>#REF!</v>
      </c>
      <c r="Q34" s="56" t="e">
        <f t="shared" si="15"/>
        <v>#REF!</v>
      </c>
    </row>
    <row r="35" spans="1:17" s="91" customFormat="1" x14ac:dyDescent="0.2">
      <c r="A35" s="92" t="s">
        <v>195</v>
      </c>
      <c r="B35" s="93"/>
      <c r="C35" s="57" t="e">
        <f>C34/C36</f>
        <v>#REF!</v>
      </c>
      <c r="D35" s="57" t="e">
        <f>+C35</f>
        <v>#REF!</v>
      </c>
      <c r="E35" s="57" t="e">
        <f>+D35</f>
        <v>#REF!</v>
      </c>
      <c r="F35" s="57" t="e">
        <f t="shared" ref="F35:Q35" si="16">+E35</f>
        <v>#REF!</v>
      </c>
      <c r="G35" s="57" t="e">
        <f t="shared" si="16"/>
        <v>#REF!</v>
      </c>
      <c r="H35" s="57" t="e">
        <f t="shared" si="16"/>
        <v>#REF!</v>
      </c>
      <c r="I35" s="57" t="e">
        <f t="shared" si="16"/>
        <v>#REF!</v>
      </c>
      <c r="J35" s="57" t="e">
        <f t="shared" si="16"/>
        <v>#REF!</v>
      </c>
      <c r="K35" s="57" t="e">
        <f t="shared" si="16"/>
        <v>#REF!</v>
      </c>
      <c r="L35" s="57" t="e">
        <f t="shared" si="16"/>
        <v>#REF!</v>
      </c>
      <c r="M35" s="57" t="e">
        <f t="shared" si="16"/>
        <v>#REF!</v>
      </c>
      <c r="N35" s="57" t="e">
        <f t="shared" si="16"/>
        <v>#REF!</v>
      </c>
      <c r="O35" s="57" t="e">
        <f t="shared" si="16"/>
        <v>#REF!</v>
      </c>
      <c r="P35" s="57" t="e">
        <f t="shared" si="16"/>
        <v>#REF!</v>
      </c>
      <c r="Q35" s="57" t="e">
        <f t="shared" si="16"/>
        <v>#REF!</v>
      </c>
    </row>
    <row r="36" spans="1:17" s="117" customFormat="1" x14ac:dyDescent="0.2">
      <c r="A36" s="116" t="s">
        <v>73</v>
      </c>
      <c r="C36" s="118">
        <v>1.1499999999999999</v>
      </c>
      <c r="D36" s="118" t="e">
        <f>D34/D35</f>
        <v>#REF!</v>
      </c>
      <c r="E36" s="118" t="e">
        <f t="shared" ref="E36:Q36" si="17">E34/E35</f>
        <v>#REF!</v>
      </c>
      <c r="F36" s="118" t="e">
        <f t="shared" si="17"/>
        <v>#REF!</v>
      </c>
      <c r="G36" s="118" t="e">
        <f t="shared" si="17"/>
        <v>#REF!</v>
      </c>
      <c r="H36" s="118" t="e">
        <f t="shared" si="17"/>
        <v>#REF!</v>
      </c>
      <c r="I36" s="118" t="e">
        <f t="shared" si="17"/>
        <v>#REF!</v>
      </c>
      <c r="J36" s="118" t="e">
        <f t="shared" si="17"/>
        <v>#REF!</v>
      </c>
      <c r="K36" s="118" t="e">
        <f t="shared" si="17"/>
        <v>#REF!</v>
      </c>
      <c r="L36" s="118" t="e">
        <f t="shared" si="17"/>
        <v>#REF!</v>
      </c>
      <c r="M36" s="118" t="e">
        <f t="shared" si="17"/>
        <v>#REF!</v>
      </c>
      <c r="N36" s="118" t="e">
        <f t="shared" si="17"/>
        <v>#REF!</v>
      </c>
      <c r="O36" s="118" t="e">
        <f t="shared" si="17"/>
        <v>#REF!</v>
      </c>
      <c r="P36" s="118" t="e">
        <f t="shared" si="17"/>
        <v>#REF!</v>
      </c>
      <c r="Q36" s="118" t="e">
        <f t="shared" si="17"/>
        <v>#REF!</v>
      </c>
    </row>
    <row r="37" spans="1:17" s="91" customFormat="1" x14ac:dyDescent="0.2">
      <c r="A37" s="92" t="s">
        <v>74</v>
      </c>
      <c r="B37" s="93"/>
      <c r="C37" s="57" t="e">
        <f>C34-C35</f>
        <v>#REF!</v>
      </c>
      <c r="D37" s="57" t="e">
        <f t="shared" ref="D37:Q37" si="18">D34-D35</f>
        <v>#REF!</v>
      </c>
      <c r="E37" s="57" t="e">
        <f t="shared" si="18"/>
        <v>#REF!</v>
      </c>
      <c r="F37" s="57" t="e">
        <f t="shared" si="18"/>
        <v>#REF!</v>
      </c>
      <c r="G37" s="57" t="e">
        <f t="shared" si="18"/>
        <v>#REF!</v>
      </c>
      <c r="H37" s="57" t="e">
        <f t="shared" si="18"/>
        <v>#REF!</v>
      </c>
      <c r="I37" s="57" t="e">
        <f t="shared" si="18"/>
        <v>#REF!</v>
      </c>
      <c r="J37" s="57" t="e">
        <f t="shared" si="18"/>
        <v>#REF!</v>
      </c>
      <c r="K37" s="57" t="e">
        <f t="shared" si="18"/>
        <v>#REF!</v>
      </c>
      <c r="L37" s="57" t="e">
        <f t="shared" si="18"/>
        <v>#REF!</v>
      </c>
      <c r="M37" s="57" t="e">
        <f t="shared" si="18"/>
        <v>#REF!</v>
      </c>
      <c r="N37" s="57" t="e">
        <f t="shared" si="18"/>
        <v>#REF!</v>
      </c>
      <c r="O37" s="57" t="e">
        <f t="shared" si="18"/>
        <v>#REF!</v>
      </c>
      <c r="P37" s="57" t="e">
        <f t="shared" si="18"/>
        <v>#REF!</v>
      </c>
      <c r="Q37" s="57" t="e">
        <f t="shared" si="18"/>
        <v>#REF!</v>
      </c>
    </row>
    <row r="38" spans="1:17" s="91" customFormat="1" ht="25.5" x14ac:dyDescent="0.2">
      <c r="A38" s="119" t="s">
        <v>198</v>
      </c>
      <c r="B38" s="104">
        <v>0.5</v>
      </c>
      <c r="C38" s="56" t="e">
        <f>$B$38*C37</f>
        <v>#REF!</v>
      </c>
      <c r="D38" s="56" t="e">
        <f t="shared" ref="D38:Q38" si="19">$B$38*D37</f>
        <v>#REF!</v>
      </c>
      <c r="E38" s="56" t="e">
        <f t="shared" si="19"/>
        <v>#REF!</v>
      </c>
      <c r="F38" s="56" t="e">
        <f t="shared" si="19"/>
        <v>#REF!</v>
      </c>
      <c r="G38" s="56" t="e">
        <f t="shared" si="19"/>
        <v>#REF!</v>
      </c>
      <c r="H38" s="56" t="e">
        <f t="shared" si="19"/>
        <v>#REF!</v>
      </c>
      <c r="I38" s="56" t="e">
        <f t="shared" si="19"/>
        <v>#REF!</v>
      </c>
      <c r="J38" s="56" t="e">
        <f t="shared" si="19"/>
        <v>#REF!</v>
      </c>
      <c r="K38" s="56" t="e">
        <f t="shared" si="19"/>
        <v>#REF!</v>
      </c>
      <c r="L38" s="56" t="e">
        <f t="shared" si="19"/>
        <v>#REF!</v>
      </c>
      <c r="M38" s="56" t="e">
        <f t="shared" si="19"/>
        <v>#REF!</v>
      </c>
      <c r="N38" s="56" t="e">
        <f t="shared" si="19"/>
        <v>#REF!</v>
      </c>
      <c r="O38" s="56" t="e">
        <f t="shared" si="19"/>
        <v>#REF!</v>
      </c>
      <c r="P38" s="56" t="e">
        <f t="shared" si="19"/>
        <v>#REF!</v>
      </c>
      <c r="Q38" s="56" t="e">
        <f t="shared" si="19"/>
        <v>#REF!</v>
      </c>
    </row>
    <row r="39" spans="1:17" s="91" customFormat="1" ht="25.5" x14ac:dyDescent="0.2">
      <c r="A39" s="112" t="s">
        <v>196</v>
      </c>
      <c r="B39" s="93"/>
      <c r="C39" s="57" t="e">
        <f>C37-C38</f>
        <v>#REF!</v>
      </c>
      <c r="D39" s="57" t="e">
        <f t="shared" ref="D39:Q39" si="20">D37-D38</f>
        <v>#REF!</v>
      </c>
      <c r="E39" s="57" t="e">
        <f t="shared" si="20"/>
        <v>#REF!</v>
      </c>
      <c r="F39" s="57" t="e">
        <f t="shared" si="20"/>
        <v>#REF!</v>
      </c>
      <c r="G39" s="57" t="e">
        <f t="shared" si="20"/>
        <v>#REF!</v>
      </c>
      <c r="H39" s="57" t="e">
        <f t="shared" si="20"/>
        <v>#REF!</v>
      </c>
      <c r="I39" s="57" t="e">
        <f t="shared" si="20"/>
        <v>#REF!</v>
      </c>
      <c r="J39" s="57" t="e">
        <f t="shared" si="20"/>
        <v>#REF!</v>
      </c>
      <c r="K39" s="57" t="e">
        <f t="shared" si="20"/>
        <v>#REF!</v>
      </c>
      <c r="L39" s="57" t="e">
        <f t="shared" si="20"/>
        <v>#REF!</v>
      </c>
      <c r="M39" s="57" t="e">
        <f t="shared" si="20"/>
        <v>#REF!</v>
      </c>
      <c r="N39" s="57" t="e">
        <f t="shared" si="20"/>
        <v>#REF!</v>
      </c>
      <c r="O39" s="57" t="e">
        <f t="shared" si="20"/>
        <v>#REF!</v>
      </c>
      <c r="P39" s="57" t="e">
        <f t="shared" si="20"/>
        <v>#REF!</v>
      </c>
      <c r="Q39" s="57" t="e">
        <f t="shared" si="20"/>
        <v>#REF!</v>
      </c>
    </row>
    <row r="40" spans="1:17" s="55" customFormat="1" x14ac:dyDescent="0.2"/>
    <row r="41" spans="1:17" s="91" customFormat="1" x14ac:dyDescent="0.2">
      <c r="A41" s="94"/>
      <c r="B41" s="90"/>
      <c r="C41" s="94" t="s">
        <v>75</v>
      </c>
      <c r="D41" s="95" t="s">
        <v>76</v>
      </c>
      <c r="E41" s="95"/>
      <c r="F41" s="95"/>
      <c r="G41" s="95"/>
    </row>
    <row r="42" spans="1:17" s="55" customFormat="1" x14ac:dyDescent="0.2">
      <c r="A42" s="55" t="s">
        <v>92</v>
      </c>
      <c r="C42" s="103">
        <v>5.2999999999999999E-2</v>
      </c>
      <c r="D42" s="71">
        <f>C42/12</f>
        <v>4.4166666666666668E-3</v>
      </c>
    </row>
    <row r="43" spans="1:17" s="55" customFormat="1" x14ac:dyDescent="0.2">
      <c r="A43" s="55" t="s">
        <v>93</v>
      </c>
      <c r="C43" s="55">
        <v>15</v>
      </c>
      <c r="D43" s="55">
        <f>C43*12</f>
        <v>180</v>
      </c>
    </row>
    <row r="44" spans="1:17" s="55" customFormat="1" x14ac:dyDescent="0.2">
      <c r="A44" s="55" t="s">
        <v>68</v>
      </c>
      <c r="C44" s="72" t="e">
        <f>+C35</f>
        <v>#REF!</v>
      </c>
      <c r="D44" s="73" t="e">
        <f>C44/12</f>
        <v>#REF!</v>
      </c>
    </row>
    <row r="45" spans="1:17" s="55" customFormat="1" x14ac:dyDescent="0.2"/>
    <row r="46" spans="1:17" s="55" customFormat="1" x14ac:dyDescent="0.2">
      <c r="B46" s="55">
        <v>1</v>
      </c>
      <c r="C46" s="55" t="s">
        <v>192</v>
      </c>
      <c r="D46" s="74" t="e">
        <f>-PV(D42,D43,D44)</f>
        <v>#REF!</v>
      </c>
      <c r="E46" s="75"/>
    </row>
    <row r="47" spans="1:17" s="55" customFormat="1" x14ac:dyDescent="0.2">
      <c r="D47" s="56"/>
    </row>
    <row r="48" spans="1:17" s="55" customFormat="1" x14ac:dyDescent="0.2">
      <c r="D48" s="56"/>
    </row>
    <row r="49" spans="3:6" s="55" customFormat="1" ht="13.5" thickBot="1" x14ac:dyDescent="0.25">
      <c r="C49" s="113"/>
      <c r="D49" s="106"/>
    </row>
    <row r="50" spans="3:6" s="55" customFormat="1" ht="13.5" thickBot="1" x14ac:dyDescent="0.25">
      <c r="C50" s="120" t="s">
        <v>192</v>
      </c>
      <c r="D50" s="124" t="e">
        <f>-PV(C42,C43,C35)</f>
        <v>#REF!</v>
      </c>
      <c r="E50" s="121" t="s">
        <v>200</v>
      </c>
    </row>
    <row r="51" spans="3:6" s="55" customFormat="1" x14ac:dyDescent="0.2">
      <c r="C51" s="121" t="s">
        <v>199</v>
      </c>
      <c r="D51" s="122" t="e">
        <f>E51*'Development Budget'!#REF!</f>
        <v>#REF!</v>
      </c>
      <c r="E51" s="123">
        <v>7.0670534235083404E-2</v>
      </c>
      <c r="F51" s="55" t="s">
        <v>201</v>
      </c>
    </row>
    <row r="52" spans="3:6" s="55" customFormat="1" x14ac:dyDescent="0.2"/>
    <row r="53" spans="3:6" s="55" customFormat="1" x14ac:dyDescent="0.2"/>
    <row r="54" spans="3:6" s="55" customFormat="1" x14ac:dyDescent="0.2"/>
    <row r="55" spans="3:6" s="55" customFormat="1" x14ac:dyDescent="0.2"/>
    <row r="56" spans="3:6" s="55" customFormat="1" x14ac:dyDescent="0.2"/>
    <row r="57" spans="3:6" s="55" customFormat="1" x14ac:dyDescent="0.2"/>
    <row r="58" spans="3:6" s="55" customFormat="1" x14ac:dyDescent="0.2"/>
    <row r="59" spans="3:6" s="55" customFormat="1" x14ac:dyDescent="0.2"/>
    <row r="60" spans="3:6" s="55" customFormat="1" x14ac:dyDescent="0.2"/>
  </sheetData>
  <pageMargins left="0.7" right="0.7" top="0.75" bottom="0.75" header="0.3" footer="0.3"/>
  <pageSetup paperSize="3" scale="80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/>
  <dimension ref="A1:R38"/>
  <sheetViews>
    <sheetView topLeftCell="A4" zoomScale="75" zoomScaleNormal="75" workbookViewId="0">
      <selection activeCell="G35" sqref="G35"/>
    </sheetView>
  </sheetViews>
  <sheetFormatPr defaultRowHeight="12.75" x14ac:dyDescent="0.2"/>
  <cols>
    <col min="1" max="1" width="39.140625" style="55" customWidth="1"/>
    <col min="2" max="2" width="24.7109375" style="55" bestFit="1" customWidth="1"/>
    <col min="3" max="3" width="24" style="55" bestFit="1" customWidth="1"/>
    <col min="4" max="12" width="17.140625" style="55" bestFit="1" customWidth="1"/>
    <col min="13" max="17" width="17.140625" style="55" hidden="1" customWidth="1"/>
    <col min="18" max="18" width="21" style="55" hidden="1" customWidth="1"/>
    <col min="19" max="27" width="0" style="55" hidden="1" customWidth="1"/>
    <col min="28" max="16384" width="9.140625" style="55"/>
  </cols>
  <sheetData>
    <row r="1" spans="1:17" ht="18" x14ac:dyDescent="0.25">
      <c r="A1" s="128" t="str">
        <f>+'Rent Roll'!A1</f>
        <v>474/80 Ocean Avenue</v>
      </c>
      <c r="B1" s="128"/>
      <c r="J1" s="129"/>
      <c r="K1" s="130"/>
      <c r="L1" s="128"/>
    </row>
    <row r="2" spans="1:17" ht="39.75" customHeight="1" x14ac:dyDescent="0.25">
      <c r="A2" s="128" t="s">
        <v>26</v>
      </c>
      <c r="B2" s="131"/>
      <c r="C2" s="61"/>
      <c r="D2" s="61"/>
      <c r="E2" s="61"/>
      <c r="F2" s="61"/>
      <c r="G2" s="61"/>
      <c r="H2" s="61"/>
      <c r="I2" s="61"/>
      <c r="J2" s="61"/>
      <c r="K2" s="61"/>
      <c r="L2" s="61"/>
      <c r="M2" s="61" t="e">
        <f>M9+#REF!-M11-#REF!</f>
        <v>#REF!</v>
      </c>
      <c r="N2" s="61" t="e">
        <f>N9+#REF!-N11-#REF!</f>
        <v>#REF!</v>
      </c>
      <c r="O2" s="61" t="e">
        <f>O9+#REF!-O11-#REF!</f>
        <v>#REF!</v>
      </c>
      <c r="P2" s="61" t="e">
        <f>P9+#REF!-P11-#REF!</f>
        <v>#REF!</v>
      </c>
      <c r="Q2" s="61" t="e">
        <f>Q9+#REF!-Q11-#REF!</f>
        <v>#REF!</v>
      </c>
    </row>
    <row r="4" spans="1:17" x14ac:dyDescent="0.2">
      <c r="A4" s="55" t="s">
        <v>0</v>
      </c>
      <c r="C4" s="55">
        <f>+'Development Budget'!B6</f>
        <v>4</v>
      </c>
    </row>
    <row r="5" spans="1:17" x14ac:dyDescent="0.2">
      <c r="A5" s="55" t="s">
        <v>27</v>
      </c>
      <c r="C5" s="60">
        <v>0.03</v>
      </c>
      <c r="E5" s="61"/>
    </row>
    <row r="6" spans="1:17" x14ac:dyDescent="0.2">
      <c r="A6" s="55" t="s">
        <v>28</v>
      </c>
      <c r="C6" s="60">
        <v>3.5000000000000003E-2</v>
      </c>
      <c r="D6" s="61"/>
      <c r="E6" s="61"/>
    </row>
    <row r="7" spans="1:17" x14ac:dyDescent="0.2">
      <c r="C7" s="61"/>
      <c r="E7" s="62"/>
      <c r="F7" s="62"/>
      <c r="G7" s="62"/>
      <c r="H7" s="62"/>
      <c r="I7" s="62"/>
      <c r="J7" s="62"/>
      <c r="K7" s="62"/>
      <c r="L7" s="62"/>
    </row>
    <row r="8" spans="1:17" s="64" customFormat="1" x14ac:dyDescent="0.2">
      <c r="A8" s="64" t="s">
        <v>27</v>
      </c>
      <c r="C8" s="64" t="s">
        <v>29</v>
      </c>
      <c r="D8" s="64" t="s">
        <v>30</v>
      </c>
      <c r="E8" s="65" t="s">
        <v>31</v>
      </c>
      <c r="F8" s="65" t="s">
        <v>37</v>
      </c>
      <c r="G8" s="65" t="s">
        <v>38</v>
      </c>
      <c r="H8" s="65" t="s">
        <v>39</v>
      </c>
      <c r="I8" s="65" t="s">
        <v>40</v>
      </c>
      <c r="J8" s="65" t="s">
        <v>41</v>
      </c>
      <c r="K8" s="65" t="s">
        <v>42</v>
      </c>
      <c r="L8" s="65" t="s">
        <v>43</v>
      </c>
      <c r="M8" s="65" t="s">
        <v>97</v>
      </c>
      <c r="N8" s="65" t="s">
        <v>98</v>
      </c>
      <c r="O8" s="65" t="s">
        <v>99</v>
      </c>
      <c r="P8" s="65" t="s">
        <v>100</v>
      </c>
      <c r="Q8" s="65" t="s">
        <v>101</v>
      </c>
    </row>
    <row r="9" spans="1:17" x14ac:dyDescent="0.2">
      <c r="A9" s="55" t="s">
        <v>184</v>
      </c>
      <c r="C9" s="61">
        <f>+'Rent Roll'!B22</f>
        <v>44712.000000000015</v>
      </c>
      <c r="D9" s="61">
        <f>C9*$C$5+C9</f>
        <v>46053.360000000015</v>
      </c>
      <c r="E9" s="61">
        <f t="shared" ref="E9:Q9" si="0">D9*$C$5+D9</f>
        <v>47434.960800000015</v>
      </c>
      <c r="F9" s="61">
        <f t="shared" ref="F9" si="1">E9*$C$5+E9</f>
        <v>48858.009624000013</v>
      </c>
      <c r="G9" s="61">
        <f t="shared" ref="G9" si="2">F9*$C$5+F9</f>
        <v>50323.749912720014</v>
      </c>
      <c r="H9" s="61">
        <f t="shared" ref="H9" si="3">G9*$C$5+G9</f>
        <v>51833.462410101616</v>
      </c>
      <c r="I9" s="61">
        <f t="shared" ref="I9" si="4">H9*$C$5+H9</f>
        <v>53388.466282404668</v>
      </c>
      <c r="J9" s="61">
        <f t="shared" ref="J9" si="5">I9*$C$5+I9</f>
        <v>54990.120270876811</v>
      </c>
      <c r="K9" s="61">
        <f t="shared" ref="K9" si="6">J9*$C$5+J9</f>
        <v>56639.823879003117</v>
      </c>
      <c r="L9" s="61">
        <f t="shared" ref="L9" si="7">K9*$C$5+K9</f>
        <v>58339.018595373214</v>
      </c>
      <c r="M9" s="61">
        <f t="shared" si="0"/>
        <v>60089.189153234409</v>
      </c>
      <c r="N9" s="61">
        <f t="shared" si="0"/>
        <v>61891.864827831443</v>
      </c>
      <c r="O9" s="61">
        <f t="shared" si="0"/>
        <v>63748.620772666385</v>
      </c>
      <c r="P9" s="61">
        <f t="shared" si="0"/>
        <v>65661.079395846376</v>
      </c>
      <c r="Q9" s="61">
        <f t="shared" si="0"/>
        <v>67630.911777721762</v>
      </c>
    </row>
    <row r="10" spans="1:17" x14ac:dyDescent="0.2">
      <c r="A10" s="55" t="s">
        <v>313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</row>
    <row r="11" spans="1:17" ht="13.5" thickBot="1" x14ac:dyDescent="0.25">
      <c r="A11" s="55" t="s">
        <v>32</v>
      </c>
      <c r="B11" s="103">
        <v>7.4999999999999997E-2</v>
      </c>
      <c r="C11" s="61">
        <f>$B$11*C9</f>
        <v>3353.400000000001</v>
      </c>
      <c r="D11" s="61">
        <f t="shared" ref="D11:L11" si="8">$B$11*D9</f>
        <v>3454.0020000000009</v>
      </c>
      <c r="E11" s="61">
        <f t="shared" si="8"/>
        <v>3557.6220600000011</v>
      </c>
      <c r="F11" s="61">
        <f t="shared" si="8"/>
        <v>3664.3507218000009</v>
      </c>
      <c r="G11" s="61">
        <f t="shared" si="8"/>
        <v>3774.281243454001</v>
      </c>
      <c r="H11" s="61">
        <f t="shared" si="8"/>
        <v>3887.509680757621</v>
      </c>
      <c r="I11" s="61">
        <f t="shared" si="8"/>
        <v>4004.13497118035</v>
      </c>
      <c r="J11" s="61">
        <f t="shared" si="8"/>
        <v>4124.2590203157606</v>
      </c>
      <c r="K11" s="61">
        <f t="shared" si="8"/>
        <v>4247.9867909252334</v>
      </c>
      <c r="L11" s="61">
        <f t="shared" si="8"/>
        <v>4375.4263946529909</v>
      </c>
      <c r="M11" s="61">
        <f t="shared" ref="M11:Q11" si="9">M9*$B$11</f>
        <v>4506.6891864925801</v>
      </c>
      <c r="N11" s="61">
        <f t="shared" si="9"/>
        <v>4641.8898620873579</v>
      </c>
      <c r="O11" s="61">
        <f t="shared" si="9"/>
        <v>4781.1465579499791</v>
      </c>
      <c r="P11" s="61">
        <f t="shared" si="9"/>
        <v>4924.5809546884784</v>
      </c>
      <c r="Q11" s="61">
        <f t="shared" si="9"/>
        <v>5072.3183833291323</v>
      </c>
    </row>
    <row r="12" spans="1:17" s="64" customFormat="1" ht="13.5" thickBot="1" x14ac:dyDescent="0.25">
      <c r="A12" s="64" t="s">
        <v>108</v>
      </c>
      <c r="C12" s="176">
        <f>C9+C10-C11</f>
        <v>41358.600000000013</v>
      </c>
      <c r="D12" s="176">
        <f t="shared" ref="D12:L12" si="10">D9+D10-D11</f>
        <v>42599.358000000015</v>
      </c>
      <c r="E12" s="176">
        <f t="shared" si="10"/>
        <v>43877.338740000014</v>
      </c>
      <c r="F12" s="176">
        <f t="shared" si="10"/>
        <v>45193.658902200012</v>
      </c>
      <c r="G12" s="176">
        <f t="shared" si="10"/>
        <v>46549.468669266011</v>
      </c>
      <c r="H12" s="176">
        <f t="shared" si="10"/>
        <v>47945.952729343997</v>
      </c>
      <c r="I12" s="176">
        <f t="shared" si="10"/>
        <v>49384.33131122432</v>
      </c>
      <c r="J12" s="176">
        <f t="shared" si="10"/>
        <v>50865.861250561051</v>
      </c>
      <c r="K12" s="176">
        <f t="shared" si="10"/>
        <v>52391.837088077882</v>
      </c>
      <c r="L12" s="176">
        <f t="shared" si="10"/>
        <v>53963.592200720224</v>
      </c>
      <c r="M12" s="109" t="e">
        <f>#REF!+#REF!</f>
        <v>#REF!</v>
      </c>
      <c r="N12" s="109" t="e">
        <f>#REF!+#REF!</f>
        <v>#REF!</v>
      </c>
      <c r="O12" s="109" t="e">
        <f>#REF!+#REF!</f>
        <v>#REF!</v>
      </c>
      <c r="P12" s="109" t="e">
        <f>#REF!+#REF!</f>
        <v>#REF!</v>
      </c>
      <c r="Q12" s="109" t="e">
        <f>#REF!+#REF!</f>
        <v>#REF!</v>
      </c>
    </row>
    <row r="13" spans="1:17" x14ac:dyDescent="0.2">
      <c r="C13" s="61"/>
      <c r="D13" s="61"/>
      <c r="E13" s="61"/>
      <c r="F13" s="61"/>
      <c r="G13" s="61"/>
      <c r="H13" s="61"/>
      <c r="I13" s="61"/>
      <c r="J13" s="61"/>
      <c r="K13" s="61"/>
      <c r="L13" s="61"/>
    </row>
    <row r="14" spans="1:17" x14ac:dyDescent="0.2">
      <c r="C14" s="56"/>
      <c r="D14" s="56"/>
      <c r="E14" s="76"/>
      <c r="F14" s="76"/>
      <c r="G14" s="76"/>
      <c r="H14" s="76"/>
      <c r="I14" s="76"/>
      <c r="J14" s="76"/>
      <c r="K14" s="76"/>
      <c r="L14" s="76"/>
      <c r="M14" s="56"/>
      <c r="N14" s="56"/>
      <c r="O14" s="56"/>
      <c r="P14" s="56"/>
      <c r="Q14" s="56"/>
    </row>
    <row r="15" spans="1:17" x14ac:dyDescent="0.2">
      <c r="A15" s="64" t="s">
        <v>28</v>
      </c>
      <c r="C15" s="56"/>
      <c r="D15" s="56"/>
      <c r="E15" s="76"/>
      <c r="F15" s="76"/>
      <c r="G15" s="76"/>
      <c r="H15" s="76"/>
      <c r="I15" s="76"/>
      <c r="J15" s="76"/>
      <c r="K15" s="76"/>
      <c r="L15" s="76"/>
      <c r="M15" s="56"/>
      <c r="N15" s="56"/>
      <c r="O15" s="56"/>
      <c r="P15" s="56"/>
      <c r="Q15" s="56"/>
    </row>
    <row r="16" spans="1:17" ht="25.5" x14ac:dyDescent="0.2">
      <c r="A16" s="69" t="s">
        <v>106</v>
      </c>
      <c r="B16" s="56">
        <v>1126.5905609151669</v>
      </c>
      <c r="C16" s="56">
        <f>B16*C4</f>
        <v>4506.3622436606674</v>
      </c>
      <c r="D16" s="56">
        <f t="shared" ref="D16:L19" si="11">C16*$C$6+C16</f>
        <v>4664.0849221887911</v>
      </c>
      <c r="E16" s="56">
        <f t="shared" si="11"/>
        <v>4827.3278944653985</v>
      </c>
      <c r="F16" s="56">
        <f t="shared" si="11"/>
        <v>4996.2843707716875</v>
      </c>
      <c r="G16" s="56">
        <f t="shared" si="11"/>
        <v>5171.1543237486967</v>
      </c>
      <c r="H16" s="56">
        <f t="shared" si="11"/>
        <v>5352.144725079901</v>
      </c>
      <c r="I16" s="56">
        <f t="shared" si="11"/>
        <v>5539.4697904576979</v>
      </c>
      <c r="J16" s="56">
        <f t="shared" si="11"/>
        <v>5733.3512331237171</v>
      </c>
      <c r="K16" s="56">
        <f t="shared" si="11"/>
        <v>5934.0185262830473</v>
      </c>
      <c r="L16" s="56">
        <f t="shared" si="11"/>
        <v>6141.7091747029535</v>
      </c>
      <c r="M16" s="56">
        <f t="shared" ref="M16:Q19" si="12">L16*$C$6+L16</f>
        <v>6356.6689958175566</v>
      </c>
      <c r="N16" s="56">
        <f t="shared" si="12"/>
        <v>6579.1524106711713</v>
      </c>
      <c r="O16" s="56">
        <f t="shared" si="12"/>
        <v>6809.4227450446624</v>
      </c>
      <c r="P16" s="56">
        <f t="shared" si="12"/>
        <v>7047.7525411212255</v>
      </c>
      <c r="Q16" s="56">
        <f t="shared" si="12"/>
        <v>7294.423880060468</v>
      </c>
    </row>
    <row r="17" spans="1:18" x14ac:dyDescent="0.2">
      <c r="A17" s="55" t="s">
        <v>33</v>
      </c>
      <c r="B17" s="56">
        <v>850</v>
      </c>
      <c r="C17" s="56">
        <f>B17*C4</f>
        <v>3400</v>
      </c>
      <c r="D17" s="56">
        <f t="shared" si="11"/>
        <v>3519</v>
      </c>
      <c r="E17" s="56">
        <f t="shared" si="11"/>
        <v>3642.165</v>
      </c>
      <c r="F17" s="56">
        <f t="shared" si="11"/>
        <v>3769.6407749999998</v>
      </c>
      <c r="G17" s="56">
        <f t="shared" si="11"/>
        <v>3901.5782021249997</v>
      </c>
      <c r="H17" s="56">
        <f t="shared" si="11"/>
        <v>4038.1334391993746</v>
      </c>
      <c r="I17" s="56">
        <f t="shared" si="11"/>
        <v>4179.4681095713531</v>
      </c>
      <c r="J17" s="56">
        <f t="shared" si="11"/>
        <v>4325.7494934063507</v>
      </c>
      <c r="K17" s="56">
        <f t="shared" si="11"/>
        <v>4477.1507256755731</v>
      </c>
      <c r="L17" s="56">
        <f t="shared" si="11"/>
        <v>4633.8510010742184</v>
      </c>
      <c r="M17" s="56">
        <f t="shared" si="12"/>
        <v>4796.0357861118164</v>
      </c>
      <c r="N17" s="56">
        <f t="shared" si="12"/>
        <v>4963.8970386257297</v>
      </c>
      <c r="O17" s="56">
        <f t="shared" si="12"/>
        <v>5137.6334349776298</v>
      </c>
      <c r="P17" s="56">
        <f t="shared" si="12"/>
        <v>5317.4506052018469</v>
      </c>
      <c r="Q17" s="56">
        <f t="shared" si="12"/>
        <v>5503.5613763839119</v>
      </c>
    </row>
    <row r="18" spans="1:18" x14ac:dyDescent="0.2">
      <c r="A18" s="55" t="s">
        <v>180</v>
      </c>
      <c r="B18" s="55">
        <v>750</v>
      </c>
      <c r="C18" s="56">
        <f>B18*C4</f>
        <v>3000</v>
      </c>
      <c r="D18" s="56">
        <f t="shared" si="11"/>
        <v>3105</v>
      </c>
      <c r="E18" s="56">
        <f t="shared" si="11"/>
        <v>3213.6750000000002</v>
      </c>
      <c r="F18" s="56">
        <f t="shared" si="11"/>
        <v>3326.1536250000004</v>
      </c>
      <c r="G18" s="56">
        <f t="shared" si="11"/>
        <v>3442.5690018750006</v>
      </c>
      <c r="H18" s="56">
        <f t="shared" si="11"/>
        <v>3563.0589169406257</v>
      </c>
      <c r="I18" s="56">
        <f t="shared" si="11"/>
        <v>3687.7659790335479</v>
      </c>
      <c r="J18" s="56">
        <f t="shared" si="11"/>
        <v>3816.837788299722</v>
      </c>
      <c r="K18" s="56">
        <f t="shared" si="11"/>
        <v>3950.4271108902121</v>
      </c>
      <c r="L18" s="56">
        <f t="shared" si="11"/>
        <v>4088.6920597713697</v>
      </c>
      <c r="M18" s="56">
        <f t="shared" si="12"/>
        <v>4231.7962818633678</v>
      </c>
      <c r="N18" s="56">
        <f t="shared" si="12"/>
        <v>4379.909151728586</v>
      </c>
      <c r="O18" s="56">
        <f t="shared" si="12"/>
        <v>4533.2059720390862</v>
      </c>
      <c r="P18" s="56">
        <f t="shared" si="12"/>
        <v>4691.8681810604539</v>
      </c>
      <c r="Q18" s="56">
        <f t="shared" si="12"/>
        <v>4856.0835673975698</v>
      </c>
    </row>
    <row r="19" spans="1:18" x14ac:dyDescent="0.2">
      <c r="A19" s="69" t="s">
        <v>181</v>
      </c>
      <c r="B19" s="89">
        <v>750</v>
      </c>
      <c r="C19" s="56">
        <f>B19*C4</f>
        <v>3000</v>
      </c>
      <c r="D19" s="56">
        <f t="shared" si="11"/>
        <v>3105</v>
      </c>
      <c r="E19" s="56">
        <f t="shared" si="11"/>
        <v>3213.6750000000002</v>
      </c>
      <c r="F19" s="56">
        <f t="shared" si="11"/>
        <v>3326.1536250000004</v>
      </c>
      <c r="G19" s="56">
        <f t="shared" si="11"/>
        <v>3442.5690018750006</v>
      </c>
      <c r="H19" s="56">
        <f t="shared" si="11"/>
        <v>3563.0589169406257</v>
      </c>
      <c r="I19" s="56">
        <f t="shared" si="11"/>
        <v>3687.7659790335479</v>
      </c>
      <c r="J19" s="56">
        <f t="shared" si="11"/>
        <v>3816.837788299722</v>
      </c>
      <c r="K19" s="56">
        <f t="shared" si="11"/>
        <v>3950.4271108902121</v>
      </c>
      <c r="L19" s="56">
        <f t="shared" si="11"/>
        <v>4088.6920597713697</v>
      </c>
      <c r="M19" s="56">
        <f t="shared" si="12"/>
        <v>4231.7962818633678</v>
      </c>
      <c r="N19" s="56">
        <f t="shared" si="12"/>
        <v>4379.909151728586</v>
      </c>
      <c r="O19" s="56">
        <f t="shared" si="12"/>
        <v>4533.2059720390862</v>
      </c>
      <c r="P19" s="56">
        <f t="shared" si="12"/>
        <v>4691.8681810604539</v>
      </c>
      <c r="Q19" s="56">
        <f t="shared" si="12"/>
        <v>4856.0835673975698</v>
      </c>
    </row>
    <row r="20" spans="1:18" x14ac:dyDescent="0.2">
      <c r="A20" s="55" t="s">
        <v>107</v>
      </c>
      <c r="B20" s="103">
        <v>0.15</v>
      </c>
      <c r="C20" s="56">
        <f>B20*C12</f>
        <v>6203.7900000000018</v>
      </c>
      <c r="D20" s="56">
        <f t="shared" ref="D20:Q20" si="13">$B$20*D12</f>
        <v>6389.9037000000017</v>
      </c>
      <c r="E20" s="56">
        <f t="shared" si="13"/>
        <v>6581.6008110000021</v>
      </c>
      <c r="F20" s="56">
        <f t="shared" si="13"/>
        <v>6779.0488353300016</v>
      </c>
      <c r="G20" s="56">
        <f t="shared" si="13"/>
        <v>6982.4203003899011</v>
      </c>
      <c r="H20" s="56">
        <f t="shared" si="13"/>
        <v>7191.8929094015994</v>
      </c>
      <c r="I20" s="56">
        <f t="shared" si="13"/>
        <v>7407.6496966836476</v>
      </c>
      <c r="J20" s="56">
        <f t="shared" si="13"/>
        <v>7629.8791875841571</v>
      </c>
      <c r="K20" s="56">
        <f t="shared" si="13"/>
        <v>7858.7755632116823</v>
      </c>
      <c r="L20" s="56">
        <f t="shared" si="13"/>
        <v>8094.5388301080329</v>
      </c>
      <c r="M20" s="56" t="e">
        <f t="shared" si="13"/>
        <v>#REF!</v>
      </c>
      <c r="N20" s="56" t="e">
        <f t="shared" si="13"/>
        <v>#REF!</v>
      </c>
      <c r="O20" s="56" t="e">
        <f t="shared" si="13"/>
        <v>#REF!</v>
      </c>
      <c r="P20" s="56" t="e">
        <f t="shared" si="13"/>
        <v>#REF!</v>
      </c>
      <c r="Q20" s="56" t="e">
        <f t="shared" si="13"/>
        <v>#REF!</v>
      </c>
      <c r="R20" s="56">
        <f>$B$20*R2</f>
        <v>0</v>
      </c>
    </row>
    <row r="21" spans="1:18" ht="15.75" customHeight="1" x14ac:dyDescent="0.2">
      <c r="A21" s="55" t="s">
        <v>182</v>
      </c>
      <c r="B21" s="61">
        <v>750</v>
      </c>
      <c r="C21" s="56">
        <f>B21*C4</f>
        <v>3000</v>
      </c>
      <c r="D21" s="56">
        <f t="shared" ref="D21:L21" si="14">C21*$C$6+C21</f>
        <v>3105</v>
      </c>
      <c r="E21" s="56">
        <f t="shared" si="14"/>
        <v>3213.6750000000002</v>
      </c>
      <c r="F21" s="56">
        <f t="shared" si="14"/>
        <v>3326.1536250000004</v>
      </c>
      <c r="G21" s="56">
        <f t="shared" si="14"/>
        <v>3442.5690018750006</v>
      </c>
      <c r="H21" s="56">
        <f t="shared" si="14"/>
        <v>3563.0589169406257</v>
      </c>
      <c r="I21" s="56">
        <f t="shared" si="14"/>
        <v>3687.7659790335479</v>
      </c>
      <c r="J21" s="56">
        <f t="shared" si="14"/>
        <v>3816.837788299722</v>
      </c>
      <c r="K21" s="56">
        <f t="shared" si="14"/>
        <v>3950.4271108902121</v>
      </c>
      <c r="L21" s="56">
        <f t="shared" si="14"/>
        <v>4088.6920597713697</v>
      </c>
      <c r="M21" s="56">
        <f t="shared" ref="M21:Q22" si="15">L21*$C$6+L21</f>
        <v>4231.7962818633678</v>
      </c>
      <c r="N21" s="56">
        <f t="shared" si="15"/>
        <v>4379.909151728586</v>
      </c>
      <c r="O21" s="56">
        <f t="shared" si="15"/>
        <v>4533.2059720390862</v>
      </c>
      <c r="P21" s="56">
        <f t="shared" si="15"/>
        <v>4691.8681810604539</v>
      </c>
      <c r="Q21" s="56">
        <f t="shared" si="15"/>
        <v>4856.0835673975698</v>
      </c>
    </row>
    <row r="22" spans="1:18" ht="15.75" customHeight="1" x14ac:dyDescent="0.2">
      <c r="A22" s="55" t="s">
        <v>183</v>
      </c>
      <c r="B22" s="89">
        <v>750</v>
      </c>
      <c r="C22" s="56">
        <f>B22*C4</f>
        <v>3000</v>
      </c>
      <c r="D22" s="56">
        <f t="shared" ref="D22:L22" si="16">C22*$C$6+C22</f>
        <v>3105</v>
      </c>
      <c r="E22" s="56">
        <f t="shared" si="16"/>
        <v>3213.6750000000002</v>
      </c>
      <c r="F22" s="56">
        <f t="shared" si="16"/>
        <v>3326.1536250000004</v>
      </c>
      <c r="G22" s="56">
        <f t="shared" si="16"/>
        <v>3442.5690018750006</v>
      </c>
      <c r="H22" s="56">
        <f t="shared" si="16"/>
        <v>3563.0589169406257</v>
      </c>
      <c r="I22" s="56">
        <f t="shared" si="16"/>
        <v>3687.7659790335479</v>
      </c>
      <c r="J22" s="56">
        <f t="shared" si="16"/>
        <v>3816.837788299722</v>
      </c>
      <c r="K22" s="56">
        <f t="shared" si="16"/>
        <v>3950.4271108902121</v>
      </c>
      <c r="L22" s="56">
        <f t="shared" si="16"/>
        <v>4088.6920597713697</v>
      </c>
      <c r="M22" s="76">
        <f t="shared" si="15"/>
        <v>4231.7962818633678</v>
      </c>
      <c r="N22" s="76">
        <f t="shared" si="15"/>
        <v>4379.909151728586</v>
      </c>
      <c r="O22" s="76">
        <f t="shared" si="15"/>
        <v>4533.2059720390862</v>
      </c>
      <c r="P22" s="76">
        <f t="shared" si="15"/>
        <v>4691.8681810604539</v>
      </c>
      <c r="Q22" s="76">
        <f t="shared" si="15"/>
        <v>4856.0835673975698</v>
      </c>
    </row>
    <row r="23" spans="1:18" ht="14.25" customHeight="1" x14ac:dyDescent="0.2">
      <c r="A23" s="55" t="s">
        <v>36</v>
      </c>
      <c r="B23" s="89">
        <v>550</v>
      </c>
      <c r="C23" s="56">
        <f>B23*C4</f>
        <v>2200</v>
      </c>
      <c r="D23" s="56">
        <f t="shared" ref="D23:L23" si="17">C23*$C$6+C23</f>
        <v>2277</v>
      </c>
      <c r="E23" s="56">
        <f t="shared" si="17"/>
        <v>2356.6950000000002</v>
      </c>
      <c r="F23" s="56">
        <f t="shared" si="17"/>
        <v>2439.1793250000001</v>
      </c>
      <c r="G23" s="56">
        <f t="shared" si="17"/>
        <v>2524.550601375</v>
      </c>
      <c r="H23" s="56">
        <f t="shared" si="17"/>
        <v>2612.9098724231249</v>
      </c>
      <c r="I23" s="56">
        <f t="shared" si="17"/>
        <v>2704.3617179579342</v>
      </c>
      <c r="J23" s="56">
        <f t="shared" si="17"/>
        <v>2799.0143780864619</v>
      </c>
      <c r="K23" s="56">
        <f t="shared" si="17"/>
        <v>2896.979881319488</v>
      </c>
      <c r="L23" s="56">
        <f t="shared" si="17"/>
        <v>2998.3741771656701</v>
      </c>
      <c r="M23" s="56">
        <f t="shared" ref="M23:Q23" si="18">L23*$C$5+L23</f>
        <v>3088.3254024806402</v>
      </c>
      <c r="N23" s="56">
        <f t="shared" si="18"/>
        <v>3180.9751645550596</v>
      </c>
      <c r="O23" s="56">
        <f t="shared" si="18"/>
        <v>3276.4044194917115</v>
      </c>
      <c r="P23" s="56">
        <f t="shared" si="18"/>
        <v>3374.6965520764629</v>
      </c>
      <c r="Q23" s="56">
        <f t="shared" si="18"/>
        <v>3475.9374486387569</v>
      </c>
    </row>
    <row r="24" spans="1:18" ht="13.5" thickBot="1" x14ac:dyDescent="0.25">
      <c r="A24" s="55" t="s">
        <v>34</v>
      </c>
      <c r="B24" s="89">
        <v>350</v>
      </c>
      <c r="C24" s="56">
        <f>B24*C4</f>
        <v>1400</v>
      </c>
      <c r="D24" s="56">
        <f t="shared" ref="D24:L24" si="19">C24*$C$6+C24</f>
        <v>1449</v>
      </c>
      <c r="E24" s="56">
        <f t="shared" si="19"/>
        <v>1499.7149999999999</v>
      </c>
      <c r="F24" s="56">
        <f t="shared" si="19"/>
        <v>1552.205025</v>
      </c>
      <c r="G24" s="56">
        <f t="shared" si="19"/>
        <v>1606.5322008749999</v>
      </c>
      <c r="H24" s="56">
        <f t="shared" si="19"/>
        <v>1662.7608279056249</v>
      </c>
      <c r="I24" s="56">
        <f t="shared" si="19"/>
        <v>1720.9574568823218</v>
      </c>
      <c r="J24" s="56">
        <f t="shared" si="19"/>
        <v>1781.1909678732031</v>
      </c>
      <c r="K24" s="56">
        <f t="shared" si="19"/>
        <v>1843.5326517487651</v>
      </c>
      <c r="L24" s="56">
        <f t="shared" si="19"/>
        <v>1908.056294559972</v>
      </c>
      <c r="M24" s="56">
        <f>B24*C4</f>
        <v>1400</v>
      </c>
      <c r="N24" s="56">
        <f>B24*C4</f>
        <v>1400</v>
      </c>
      <c r="O24" s="56">
        <f>B24*C4</f>
        <v>1400</v>
      </c>
      <c r="P24" s="56">
        <f>B24*C4</f>
        <v>1400</v>
      </c>
      <c r="Q24" s="56">
        <f>B24*C4</f>
        <v>1400</v>
      </c>
    </row>
    <row r="25" spans="1:18" s="64" customFormat="1" ht="13.5" thickBot="1" x14ac:dyDescent="0.25">
      <c r="A25" s="64" t="s">
        <v>35</v>
      </c>
      <c r="B25" s="57">
        <f>C25/C4</f>
        <v>7427.5380609151671</v>
      </c>
      <c r="C25" s="114">
        <f t="shared" ref="C25:L25" si="20">SUM(C16:C24)</f>
        <v>29710.152243660668</v>
      </c>
      <c r="D25" s="114">
        <f t="shared" si="20"/>
        <v>30718.988622188794</v>
      </c>
      <c r="E25" s="114">
        <f t="shared" si="20"/>
        <v>31762.203705465396</v>
      </c>
      <c r="F25" s="114">
        <f t="shared" si="20"/>
        <v>32840.972831101688</v>
      </c>
      <c r="G25" s="114">
        <f t="shared" si="20"/>
        <v>33956.511636013602</v>
      </c>
      <c r="H25" s="114">
        <f t="shared" si="20"/>
        <v>35110.077441772126</v>
      </c>
      <c r="I25" s="114">
        <f t="shared" si="20"/>
        <v>36302.970687687142</v>
      </c>
      <c r="J25" s="114">
        <f t="shared" si="20"/>
        <v>37536.536413272777</v>
      </c>
      <c r="K25" s="114">
        <f t="shared" si="20"/>
        <v>38812.165791799402</v>
      </c>
      <c r="L25" s="114">
        <f t="shared" si="20"/>
        <v>40131.297716696325</v>
      </c>
      <c r="M25" s="57" t="e">
        <f t="shared" ref="M25:Q25" si="21">SUM(M16:M24)</f>
        <v>#REF!</v>
      </c>
      <c r="N25" s="57" t="e">
        <f t="shared" si="21"/>
        <v>#REF!</v>
      </c>
      <c r="O25" s="57" t="e">
        <f t="shared" si="21"/>
        <v>#REF!</v>
      </c>
      <c r="P25" s="57" t="e">
        <f t="shared" si="21"/>
        <v>#REF!</v>
      </c>
      <c r="Q25" s="57" t="e">
        <f t="shared" si="21"/>
        <v>#REF!</v>
      </c>
    </row>
    <row r="26" spans="1:18" x14ac:dyDescent="0.2"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</row>
    <row r="27" spans="1:18" s="91" customFormat="1" x14ac:dyDescent="0.2">
      <c r="A27" s="90" t="s">
        <v>72</v>
      </c>
      <c r="C27" s="177">
        <f t="shared" ref="C27:Q27" si="22">C12-C25</f>
        <v>11648.447756339345</v>
      </c>
      <c r="D27" s="56">
        <f t="shared" si="22"/>
        <v>11880.369377811221</v>
      </c>
      <c r="E27" s="56">
        <f t="shared" si="22"/>
        <v>12115.135034534618</v>
      </c>
      <c r="F27" s="56">
        <f t="shared" si="22"/>
        <v>12352.686071098324</v>
      </c>
      <c r="G27" s="56">
        <f t="shared" si="22"/>
        <v>12592.957033252409</v>
      </c>
      <c r="H27" s="56">
        <f t="shared" si="22"/>
        <v>12835.875287571871</v>
      </c>
      <c r="I27" s="56">
        <f t="shared" si="22"/>
        <v>13081.360623537177</v>
      </c>
      <c r="J27" s="56">
        <f t="shared" si="22"/>
        <v>13329.324837288274</v>
      </c>
      <c r="K27" s="56">
        <f t="shared" si="22"/>
        <v>13579.67129627848</v>
      </c>
      <c r="L27" s="56">
        <f t="shared" si="22"/>
        <v>13832.2944840239</v>
      </c>
      <c r="M27" s="56" t="e">
        <f t="shared" si="22"/>
        <v>#REF!</v>
      </c>
      <c r="N27" s="56" t="e">
        <f t="shared" si="22"/>
        <v>#REF!</v>
      </c>
      <c r="O27" s="56" t="e">
        <f t="shared" si="22"/>
        <v>#REF!</v>
      </c>
      <c r="P27" s="56" t="e">
        <f t="shared" si="22"/>
        <v>#REF!</v>
      </c>
      <c r="Q27" s="56" t="e">
        <f t="shared" si="22"/>
        <v>#REF!</v>
      </c>
    </row>
    <row r="28" spans="1:18" s="91" customFormat="1" x14ac:dyDescent="0.2">
      <c r="A28" s="92" t="s">
        <v>195</v>
      </c>
      <c r="B28" s="93"/>
      <c r="C28" s="57">
        <f>C27/C29</f>
        <v>9318.7582050714755</v>
      </c>
      <c r="D28" s="57">
        <f>C28</f>
        <v>9318.7582050714755</v>
      </c>
      <c r="E28" s="57">
        <f>+D28</f>
        <v>9318.7582050714755</v>
      </c>
      <c r="F28" s="57">
        <f t="shared" ref="F28:Q28" si="23">+E28</f>
        <v>9318.7582050714755</v>
      </c>
      <c r="G28" s="57">
        <f t="shared" si="23"/>
        <v>9318.7582050714755</v>
      </c>
      <c r="H28" s="57">
        <f t="shared" si="23"/>
        <v>9318.7582050714755</v>
      </c>
      <c r="I28" s="57">
        <f t="shared" si="23"/>
        <v>9318.7582050714755</v>
      </c>
      <c r="J28" s="57">
        <f t="shared" si="23"/>
        <v>9318.7582050714755</v>
      </c>
      <c r="K28" s="57">
        <f t="shared" si="23"/>
        <v>9318.7582050714755</v>
      </c>
      <c r="L28" s="57">
        <f t="shared" si="23"/>
        <v>9318.7582050714755</v>
      </c>
      <c r="M28" s="57">
        <f t="shared" si="23"/>
        <v>9318.7582050714755</v>
      </c>
      <c r="N28" s="57">
        <f t="shared" si="23"/>
        <v>9318.7582050714755</v>
      </c>
      <c r="O28" s="57">
        <f t="shared" si="23"/>
        <v>9318.7582050714755</v>
      </c>
      <c r="P28" s="57">
        <f t="shared" si="23"/>
        <v>9318.7582050714755</v>
      </c>
      <c r="Q28" s="57">
        <f t="shared" si="23"/>
        <v>9318.7582050714755</v>
      </c>
    </row>
    <row r="29" spans="1:18" s="117" customFormat="1" x14ac:dyDescent="0.2">
      <c r="A29" s="116" t="s">
        <v>73</v>
      </c>
      <c r="C29" s="118">
        <v>1.25</v>
      </c>
      <c r="D29" s="118">
        <f>D27/D28</f>
        <v>1.2748876101695246</v>
      </c>
      <c r="E29" s="118">
        <f t="shared" ref="E29:Q29" si="24">E27/E28</f>
        <v>1.3000804150000687</v>
      </c>
      <c r="F29" s="118">
        <f t="shared" si="24"/>
        <v>1.325572120153919</v>
      </c>
      <c r="G29" s="118">
        <f t="shared" si="24"/>
        <v>1.3513557017070195</v>
      </c>
      <c r="H29" s="118">
        <f t="shared" si="24"/>
        <v>1.3774233653349115</v>
      </c>
      <c r="I29" s="118">
        <f t="shared" si="24"/>
        <v>1.4037665036118234</v>
      </c>
      <c r="J29" s="118">
        <f t="shared" si="24"/>
        <v>1.4303756513431327</v>
      </c>
      <c r="K29" s="118">
        <f t="shared" si="24"/>
        <v>1.4572404388481848</v>
      </c>
      <c r="L29" s="118">
        <f t="shared" si="24"/>
        <v>1.4843495431071554</v>
      </c>
      <c r="M29" s="118" t="e">
        <f t="shared" si="24"/>
        <v>#REF!</v>
      </c>
      <c r="N29" s="118" t="e">
        <f t="shared" si="24"/>
        <v>#REF!</v>
      </c>
      <c r="O29" s="118" t="e">
        <f t="shared" si="24"/>
        <v>#REF!</v>
      </c>
      <c r="P29" s="118" t="e">
        <f t="shared" si="24"/>
        <v>#REF!</v>
      </c>
      <c r="Q29" s="118" t="e">
        <f t="shared" si="24"/>
        <v>#REF!</v>
      </c>
    </row>
    <row r="30" spans="1:18" s="91" customFormat="1" x14ac:dyDescent="0.2">
      <c r="A30" s="92" t="s">
        <v>74</v>
      </c>
      <c r="B30" s="93"/>
      <c r="C30" s="57">
        <f>C27-C28</f>
        <v>2329.6895512678693</v>
      </c>
      <c r="D30" s="57">
        <f t="shared" ref="D30:Q30" si="25">D27-D28</f>
        <v>2561.6111727397456</v>
      </c>
      <c r="E30" s="57">
        <f t="shared" si="25"/>
        <v>2796.3768294631427</v>
      </c>
      <c r="F30" s="57">
        <f t="shared" si="25"/>
        <v>3033.9278660268483</v>
      </c>
      <c r="G30" s="57">
        <f t="shared" si="25"/>
        <v>3274.1988281809336</v>
      </c>
      <c r="H30" s="57">
        <f t="shared" si="25"/>
        <v>3517.1170825003956</v>
      </c>
      <c r="I30" s="57">
        <f t="shared" si="25"/>
        <v>3762.6024184657017</v>
      </c>
      <c r="J30" s="57">
        <f t="shared" si="25"/>
        <v>4010.5666322167981</v>
      </c>
      <c r="K30" s="57">
        <f t="shared" si="25"/>
        <v>4260.913091207005</v>
      </c>
      <c r="L30" s="57">
        <f t="shared" si="25"/>
        <v>4513.5362789524243</v>
      </c>
      <c r="M30" s="57" t="e">
        <f t="shared" si="25"/>
        <v>#REF!</v>
      </c>
      <c r="N30" s="57" t="e">
        <f t="shared" si="25"/>
        <v>#REF!</v>
      </c>
      <c r="O30" s="57" t="e">
        <f t="shared" si="25"/>
        <v>#REF!</v>
      </c>
      <c r="P30" s="57" t="e">
        <f t="shared" si="25"/>
        <v>#REF!</v>
      </c>
      <c r="Q30" s="57" t="e">
        <f t="shared" si="25"/>
        <v>#REF!</v>
      </c>
    </row>
    <row r="31" spans="1:18" ht="14.25" customHeight="1" x14ac:dyDescent="0.2"/>
    <row r="32" spans="1:18" ht="14.25" customHeight="1" x14ac:dyDescent="0.2">
      <c r="A32" s="64" t="s">
        <v>246</v>
      </c>
    </row>
    <row r="33" spans="1:7" s="91" customFormat="1" ht="11.25" customHeight="1" x14ac:dyDescent="0.2">
      <c r="A33" s="94"/>
      <c r="B33" s="90"/>
      <c r="C33" s="94" t="s">
        <v>115</v>
      </c>
      <c r="D33" s="95" t="s">
        <v>247</v>
      </c>
      <c r="E33" s="95"/>
      <c r="F33" s="95"/>
      <c r="G33" s="95"/>
    </row>
    <row r="34" spans="1:7" x14ac:dyDescent="0.2">
      <c r="A34" s="55" t="s">
        <v>92</v>
      </c>
      <c r="C34" s="103">
        <v>7.4999999999999997E-2</v>
      </c>
      <c r="D34" s="71">
        <f>C34/12</f>
        <v>6.2499999999999995E-3</v>
      </c>
    </row>
    <row r="35" spans="1:7" x14ac:dyDescent="0.2">
      <c r="A35" s="55" t="s">
        <v>93</v>
      </c>
      <c r="C35" s="55">
        <v>20</v>
      </c>
      <c r="D35" s="55">
        <f>C35*12</f>
        <v>240</v>
      </c>
    </row>
    <row r="36" spans="1:7" x14ac:dyDescent="0.2">
      <c r="A36" s="55" t="s">
        <v>68</v>
      </c>
      <c r="C36" s="72">
        <f>+C28</f>
        <v>9318.7582050714755</v>
      </c>
      <c r="D36" s="73">
        <f>C36/12</f>
        <v>776.56318375595629</v>
      </c>
    </row>
    <row r="37" spans="1:7" ht="13.5" thickBot="1" x14ac:dyDescent="0.25">
      <c r="C37" s="113"/>
      <c r="D37" s="106"/>
    </row>
    <row r="38" spans="1:7" ht="13.5" thickBot="1" x14ac:dyDescent="0.25">
      <c r="C38" s="55" t="s">
        <v>192</v>
      </c>
      <c r="D38" s="175">
        <f>-PV(C34,C35,C28)</f>
        <v>94999.999999999898</v>
      </c>
      <c r="E38" s="64"/>
      <c r="F38" s="64"/>
    </row>
  </sheetData>
  <pageMargins left="0.7" right="0.7" top="0.75" bottom="0.75" header="0.3" footer="0.3"/>
  <pageSetup scale="50" orientation="landscape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R57"/>
  <sheetViews>
    <sheetView topLeftCell="A22" workbookViewId="0">
      <selection activeCell="C10" sqref="C10"/>
    </sheetView>
  </sheetViews>
  <sheetFormatPr defaultRowHeight="12.75" x14ac:dyDescent="0.2"/>
  <cols>
    <col min="1" max="1" width="39.140625" style="89" customWidth="1"/>
    <col min="2" max="2" width="11.85546875" style="89" customWidth="1"/>
    <col min="3" max="3" width="18.140625" style="89" customWidth="1"/>
    <col min="4" max="4" width="14.28515625" style="89" customWidth="1"/>
    <col min="5" max="11" width="17.140625" style="89" bestFit="1" customWidth="1"/>
    <col min="12" max="12" width="10.140625" style="89" bestFit="1" customWidth="1"/>
    <col min="13" max="17" width="12.42578125" style="89" bestFit="1" customWidth="1"/>
    <col min="18" max="18" width="6.85546875" style="89" bestFit="1" customWidth="1"/>
    <col min="19" max="20" width="17" style="89" customWidth="1"/>
    <col min="21" max="16384" width="9.140625" style="89"/>
  </cols>
  <sheetData>
    <row r="1" spans="1:17" ht="18" x14ac:dyDescent="0.25">
      <c r="A1" s="134" t="s">
        <v>25</v>
      </c>
      <c r="B1" s="134"/>
      <c r="J1" s="135"/>
      <c r="K1" s="136"/>
      <c r="L1" s="134"/>
    </row>
    <row r="2" spans="1:17" ht="18" x14ac:dyDescent="0.25">
      <c r="A2" s="134" t="s">
        <v>78</v>
      </c>
      <c r="B2" s="134"/>
      <c r="J2" s="136"/>
      <c r="K2" s="136"/>
      <c r="L2" s="134"/>
    </row>
    <row r="3" spans="1:17" ht="51.75" x14ac:dyDescent="0.25">
      <c r="A3" s="134" t="s">
        <v>26</v>
      </c>
      <c r="B3" s="137" t="s">
        <v>206</v>
      </c>
      <c r="C3" s="89" t="e">
        <f>C10+C13-C11-C14</f>
        <v>#REF!</v>
      </c>
      <c r="D3" s="89" t="e">
        <f t="shared" ref="D3:Q3" si="0">D10+D13-D11-D14</f>
        <v>#REF!</v>
      </c>
      <c r="E3" s="89" t="e">
        <f t="shared" si="0"/>
        <v>#REF!</v>
      </c>
      <c r="F3" s="89" t="e">
        <f t="shared" si="0"/>
        <v>#REF!</v>
      </c>
      <c r="G3" s="89" t="e">
        <f t="shared" si="0"/>
        <v>#REF!</v>
      </c>
      <c r="H3" s="89" t="e">
        <f t="shared" si="0"/>
        <v>#REF!</v>
      </c>
      <c r="I3" s="89" t="e">
        <f t="shared" si="0"/>
        <v>#REF!</v>
      </c>
      <c r="J3" s="89" t="e">
        <f t="shared" si="0"/>
        <v>#REF!</v>
      </c>
      <c r="K3" s="89" t="e">
        <f t="shared" si="0"/>
        <v>#REF!</v>
      </c>
      <c r="L3" s="89" t="e">
        <f t="shared" si="0"/>
        <v>#REF!</v>
      </c>
      <c r="M3" s="89" t="e">
        <f t="shared" si="0"/>
        <v>#REF!</v>
      </c>
      <c r="N3" s="89" t="e">
        <f t="shared" si="0"/>
        <v>#REF!</v>
      </c>
      <c r="O3" s="89" t="e">
        <f t="shared" si="0"/>
        <v>#REF!</v>
      </c>
      <c r="P3" s="89" t="e">
        <f t="shared" si="0"/>
        <v>#REF!</v>
      </c>
      <c r="Q3" s="89" t="e">
        <f t="shared" si="0"/>
        <v>#REF!</v>
      </c>
    </row>
    <row r="5" spans="1:17" x14ac:dyDescent="0.2">
      <c r="A5" s="89" t="s">
        <v>0</v>
      </c>
      <c r="C5" s="89">
        <v>12</v>
      </c>
    </row>
    <row r="6" spans="1:17" x14ac:dyDescent="0.2">
      <c r="A6" s="89" t="s">
        <v>27</v>
      </c>
      <c r="C6" s="89">
        <v>0.03</v>
      </c>
    </row>
    <row r="7" spans="1:17" x14ac:dyDescent="0.2">
      <c r="A7" s="89" t="s">
        <v>28</v>
      </c>
      <c r="C7" s="89">
        <v>0.04</v>
      </c>
    </row>
    <row r="8" spans="1:17" x14ac:dyDescent="0.2">
      <c r="E8" s="138"/>
      <c r="F8" s="138"/>
      <c r="G8" s="138"/>
      <c r="H8" s="138"/>
      <c r="I8" s="138"/>
      <c r="J8" s="138"/>
      <c r="K8" s="138"/>
      <c r="L8" s="138"/>
    </row>
    <row r="9" spans="1:17" s="139" customFormat="1" x14ac:dyDescent="0.2">
      <c r="A9" s="139" t="s">
        <v>27</v>
      </c>
      <c r="C9" s="139" t="s">
        <v>29</v>
      </c>
      <c r="D9" s="139" t="s">
        <v>30</v>
      </c>
      <c r="E9" s="140" t="s">
        <v>31</v>
      </c>
      <c r="F9" s="140" t="s">
        <v>37</v>
      </c>
      <c r="G9" s="140" t="s">
        <v>38</v>
      </c>
      <c r="H9" s="140" t="s">
        <v>39</v>
      </c>
      <c r="I9" s="140" t="s">
        <v>40</v>
      </c>
      <c r="J9" s="140" t="s">
        <v>41</v>
      </c>
      <c r="K9" s="140" t="s">
        <v>42</v>
      </c>
      <c r="L9" s="140" t="s">
        <v>43</v>
      </c>
      <c r="M9" s="140" t="s">
        <v>97</v>
      </c>
      <c r="N9" s="140" t="s">
        <v>98</v>
      </c>
      <c r="O9" s="140" t="s">
        <v>99</v>
      </c>
      <c r="P9" s="140" t="s">
        <v>100</v>
      </c>
      <c r="Q9" s="140" t="s">
        <v>101</v>
      </c>
    </row>
    <row r="10" spans="1:17" x14ac:dyDescent="0.2">
      <c r="A10" s="89" t="s">
        <v>184</v>
      </c>
      <c r="C10" s="170" t="e">
        <f>'Rent Roll'!#REF!</f>
        <v>#REF!</v>
      </c>
      <c r="D10" s="89" t="e">
        <f>C10*$C$6+C10</f>
        <v>#REF!</v>
      </c>
      <c r="E10" s="89" t="e">
        <f t="shared" ref="E10:Q10" si="1">D10*$C$6+D10</f>
        <v>#REF!</v>
      </c>
      <c r="F10" s="89" t="e">
        <f t="shared" si="1"/>
        <v>#REF!</v>
      </c>
      <c r="G10" s="89" t="e">
        <f t="shared" si="1"/>
        <v>#REF!</v>
      </c>
      <c r="H10" s="89" t="e">
        <f t="shared" si="1"/>
        <v>#REF!</v>
      </c>
      <c r="I10" s="89" t="e">
        <f t="shared" si="1"/>
        <v>#REF!</v>
      </c>
      <c r="J10" s="89" t="e">
        <f t="shared" si="1"/>
        <v>#REF!</v>
      </c>
      <c r="K10" s="89" t="e">
        <f t="shared" si="1"/>
        <v>#REF!</v>
      </c>
      <c r="L10" s="89" t="e">
        <f t="shared" si="1"/>
        <v>#REF!</v>
      </c>
      <c r="M10" s="89" t="e">
        <f t="shared" si="1"/>
        <v>#REF!</v>
      </c>
      <c r="N10" s="89" t="e">
        <f t="shared" si="1"/>
        <v>#REF!</v>
      </c>
      <c r="O10" s="89" t="e">
        <f t="shared" si="1"/>
        <v>#REF!</v>
      </c>
      <c r="P10" s="89" t="e">
        <f t="shared" si="1"/>
        <v>#REF!</v>
      </c>
      <c r="Q10" s="89" t="e">
        <f t="shared" si="1"/>
        <v>#REF!</v>
      </c>
    </row>
    <row r="11" spans="1:17" x14ac:dyDescent="0.2">
      <c r="A11" s="89" t="s">
        <v>32</v>
      </c>
      <c r="B11" s="89">
        <v>0.09</v>
      </c>
      <c r="C11" s="89" t="e">
        <f>B11*C10</f>
        <v>#REF!</v>
      </c>
      <c r="D11" s="89" t="e">
        <f>D10*$B$11</f>
        <v>#REF!</v>
      </c>
      <c r="E11" s="89" t="e">
        <f t="shared" ref="E11:Q11" si="2">E10*$B$11</f>
        <v>#REF!</v>
      </c>
      <c r="F11" s="89" t="e">
        <f t="shared" si="2"/>
        <v>#REF!</v>
      </c>
      <c r="G11" s="89" t="e">
        <f t="shared" si="2"/>
        <v>#REF!</v>
      </c>
      <c r="H11" s="89" t="e">
        <f t="shared" si="2"/>
        <v>#REF!</v>
      </c>
      <c r="I11" s="89" t="e">
        <f t="shared" si="2"/>
        <v>#REF!</v>
      </c>
      <c r="J11" s="89" t="e">
        <f t="shared" si="2"/>
        <v>#REF!</v>
      </c>
      <c r="K11" s="89" t="e">
        <f t="shared" si="2"/>
        <v>#REF!</v>
      </c>
      <c r="L11" s="89" t="e">
        <f t="shared" si="2"/>
        <v>#REF!</v>
      </c>
      <c r="M11" s="89" t="e">
        <f t="shared" si="2"/>
        <v>#REF!</v>
      </c>
      <c r="N11" s="89" t="e">
        <f t="shared" si="2"/>
        <v>#REF!</v>
      </c>
      <c r="O11" s="89" t="e">
        <f t="shared" si="2"/>
        <v>#REF!</v>
      </c>
      <c r="P11" s="89" t="e">
        <f t="shared" si="2"/>
        <v>#REF!</v>
      </c>
      <c r="Q11" s="89" t="e">
        <f t="shared" si="2"/>
        <v>#REF!</v>
      </c>
    </row>
    <row r="12" spans="1:17" x14ac:dyDescent="0.2">
      <c r="A12" s="89" t="s">
        <v>185</v>
      </c>
      <c r="C12" s="89" t="e">
        <f>C10-C11</f>
        <v>#REF!</v>
      </c>
      <c r="D12" s="89" t="e">
        <f>D10-D11</f>
        <v>#REF!</v>
      </c>
      <c r="E12" s="89" t="e">
        <f t="shared" ref="E12:Q12" si="3">E10-E11</f>
        <v>#REF!</v>
      </c>
      <c r="F12" s="89" t="e">
        <f t="shared" si="3"/>
        <v>#REF!</v>
      </c>
      <c r="G12" s="89" t="e">
        <f t="shared" si="3"/>
        <v>#REF!</v>
      </c>
      <c r="H12" s="89" t="e">
        <f t="shared" si="3"/>
        <v>#REF!</v>
      </c>
      <c r="I12" s="89" t="e">
        <f t="shared" si="3"/>
        <v>#REF!</v>
      </c>
      <c r="J12" s="89" t="e">
        <f t="shared" si="3"/>
        <v>#REF!</v>
      </c>
      <c r="K12" s="89" t="e">
        <f t="shared" si="3"/>
        <v>#REF!</v>
      </c>
      <c r="L12" s="89" t="e">
        <f t="shared" si="3"/>
        <v>#REF!</v>
      </c>
      <c r="M12" s="89" t="e">
        <f t="shared" si="3"/>
        <v>#REF!</v>
      </c>
      <c r="N12" s="89" t="e">
        <f t="shared" si="3"/>
        <v>#REF!</v>
      </c>
      <c r="O12" s="89" t="e">
        <f t="shared" si="3"/>
        <v>#REF!</v>
      </c>
      <c r="P12" s="89" t="e">
        <f t="shared" si="3"/>
        <v>#REF!</v>
      </c>
      <c r="Q12" s="89" t="e">
        <f t="shared" si="3"/>
        <v>#REF!</v>
      </c>
    </row>
    <row r="13" spans="1:17" s="141" customFormat="1" x14ac:dyDescent="0.2">
      <c r="A13" s="141" t="s">
        <v>186</v>
      </c>
      <c r="C13" s="141" t="e">
        <f>'Rent Roll'!#REF!</f>
        <v>#REF!</v>
      </c>
      <c r="D13" s="141">
        <f>'[2]Rent Roll'!N23</f>
        <v>43200</v>
      </c>
      <c r="E13" s="141">
        <f>D13</f>
        <v>43200</v>
      </c>
      <c r="F13" s="141">
        <f>E13</f>
        <v>43200</v>
      </c>
      <c r="G13" s="141">
        <f t="shared" ref="G13:Q13" si="4">F13</f>
        <v>43200</v>
      </c>
      <c r="H13" s="141">
        <f t="shared" si="4"/>
        <v>43200</v>
      </c>
      <c r="I13" s="141">
        <f t="shared" si="4"/>
        <v>43200</v>
      </c>
      <c r="J13" s="141">
        <f t="shared" si="4"/>
        <v>43200</v>
      </c>
      <c r="K13" s="141">
        <f t="shared" si="4"/>
        <v>43200</v>
      </c>
      <c r="L13" s="141">
        <f t="shared" si="4"/>
        <v>43200</v>
      </c>
      <c r="M13" s="141">
        <f t="shared" si="4"/>
        <v>43200</v>
      </c>
      <c r="N13" s="141">
        <f t="shared" si="4"/>
        <v>43200</v>
      </c>
      <c r="O13" s="141">
        <f t="shared" si="4"/>
        <v>43200</v>
      </c>
      <c r="P13" s="141">
        <f t="shared" si="4"/>
        <v>43200</v>
      </c>
      <c r="Q13" s="141">
        <f t="shared" si="4"/>
        <v>43200</v>
      </c>
    </row>
    <row r="14" spans="1:17" x14ac:dyDescent="0.2">
      <c r="A14" s="89" t="s">
        <v>187</v>
      </c>
      <c r="B14" s="89">
        <v>0.09</v>
      </c>
      <c r="C14" s="89" t="e">
        <f>C13*B14</f>
        <v>#REF!</v>
      </c>
      <c r="D14" s="89">
        <f t="shared" ref="D14:Q14" si="5">D13*$B$14</f>
        <v>3888</v>
      </c>
      <c r="E14" s="89">
        <f t="shared" si="5"/>
        <v>3888</v>
      </c>
      <c r="F14" s="89">
        <f t="shared" si="5"/>
        <v>3888</v>
      </c>
      <c r="G14" s="89">
        <f t="shared" si="5"/>
        <v>3888</v>
      </c>
      <c r="H14" s="89">
        <f t="shared" si="5"/>
        <v>3888</v>
      </c>
      <c r="I14" s="89">
        <f t="shared" si="5"/>
        <v>3888</v>
      </c>
      <c r="J14" s="89">
        <f t="shared" si="5"/>
        <v>3888</v>
      </c>
      <c r="K14" s="89">
        <f t="shared" si="5"/>
        <v>3888</v>
      </c>
      <c r="L14" s="89">
        <f t="shared" si="5"/>
        <v>3888</v>
      </c>
      <c r="M14" s="89">
        <f t="shared" si="5"/>
        <v>3888</v>
      </c>
      <c r="N14" s="89">
        <f t="shared" si="5"/>
        <v>3888</v>
      </c>
      <c r="O14" s="89">
        <f t="shared" si="5"/>
        <v>3888</v>
      </c>
      <c r="P14" s="89">
        <f t="shared" si="5"/>
        <v>3888</v>
      </c>
      <c r="Q14" s="89">
        <f t="shared" si="5"/>
        <v>3888</v>
      </c>
    </row>
    <row r="15" spans="1:17" x14ac:dyDescent="0.2">
      <c r="A15" s="89" t="s">
        <v>188</v>
      </c>
      <c r="C15" s="89" t="e">
        <f>C13-C14</f>
        <v>#REF!</v>
      </c>
      <c r="D15" s="89">
        <f>D13-D14</f>
        <v>39312</v>
      </c>
      <c r="E15" s="89">
        <f t="shared" ref="E15:Q15" si="6">E13-E14</f>
        <v>39312</v>
      </c>
      <c r="F15" s="89">
        <f t="shared" si="6"/>
        <v>39312</v>
      </c>
      <c r="G15" s="89">
        <f t="shared" si="6"/>
        <v>39312</v>
      </c>
      <c r="H15" s="89">
        <f t="shared" si="6"/>
        <v>39312</v>
      </c>
      <c r="I15" s="89">
        <f t="shared" si="6"/>
        <v>39312</v>
      </c>
      <c r="J15" s="89">
        <f t="shared" si="6"/>
        <v>39312</v>
      </c>
      <c r="K15" s="89">
        <f t="shared" si="6"/>
        <v>39312</v>
      </c>
      <c r="L15" s="89">
        <f t="shared" si="6"/>
        <v>39312</v>
      </c>
      <c r="M15" s="89">
        <f t="shared" si="6"/>
        <v>39312</v>
      </c>
      <c r="N15" s="89">
        <f t="shared" si="6"/>
        <v>39312</v>
      </c>
      <c r="O15" s="89">
        <f t="shared" si="6"/>
        <v>39312</v>
      </c>
      <c r="P15" s="89">
        <f t="shared" si="6"/>
        <v>39312</v>
      </c>
      <c r="Q15" s="89">
        <f t="shared" si="6"/>
        <v>39312</v>
      </c>
    </row>
    <row r="16" spans="1:17" x14ac:dyDescent="0.2">
      <c r="A16" s="89" t="s">
        <v>189</v>
      </c>
      <c r="C16" s="89" t="e">
        <f>C12+C15</f>
        <v>#REF!</v>
      </c>
      <c r="D16" s="89" t="e">
        <f t="shared" ref="D16:Q16" si="7">D15+D12</f>
        <v>#REF!</v>
      </c>
      <c r="E16" s="89" t="e">
        <f t="shared" si="7"/>
        <v>#REF!</v>
      </c>
      <c r="F16" s="89" t="e">
        <f t="shared" si="7"/>
        <v>#REF!</v>
      </c>
      <c r="G16" s="89" t="e">
        <f t="shared" si="7"/>
        <v>#REF!</v>
      </c>
      <c r="H16" s="89" t="e">
        <f t="shared" si="7"/>
        <v>#REF!</v>
      </c>
      <c r="I16" s="89" t="e">
        <f t="shared" si="7"/>
        <v>#REF!</v>
      </c>
      <c r="J16" s="89" t="e">
        <f t="shared" si="7"/>
        <v>#REF!</v>
      </c>
      <c r="K16" s="89" t="e">
        <f t="shared" si="7"/>
        <v>#REF!</v>
      </c>
      <c r="L16" s="89" t="e">
        <f t="shared" si="7"/>
        <v>#REF!</v>
      </c>
      <c r="M16" s="89" t="e">
        <f t="shared" si="7"/>
        <v>#REF!</v>
      </c>
      <c r="N16" s="89" t="e">
        <f t="shared" si="7"/>
        <v>#REF!</v>
      </c>
      <c r="O16" s="89" t="e">
        <f t="shared" si="7"/>
        <v>#REF!</v>
      </c>
      <c r="P16" s="89" t="e">
        <f t="shared" si="7"/>
        <v>#REF!</v>
      </c>
      <c r="Q16" s="89" t="e">
        <f t="shared" si="7"/>
        <v>#REF!</v>
      </c>
    </row>
    <row r="17" spans="1:18" s="142" customFormat="1" ht="13.5" thickBot="1" x14ac:dyDescent="0.25">
      <c r="A17" s="142" t="s">
        <v>190</v>
      </c>
      <c r="C17" s="142">
        <v>1517</v>
      </c>
      <c r="D17" s="142">
        <v>1517</v>
      </c>
      <c r="E17" s="142">
        <v>1517</v>
      </c>
      <c r="F17" s="142">
        <v>1517</v>
      </c>
      <c r="G17" s="142">
        <v>1517</v>
      </c>
      <c r="H17" s="142">
        <v>1517</v>
      </c>
      <c r="I17" s="142">
        <v>1517</v>
      </c>
      <c r="J17" s="142">
        <v>1517</v>
      </c>
      <c r="K17" s="142">
        <v>1517</v>
      </c>
      <c r="L17" s="142">
        <v>1517</v>
      </c>
      <c r="M17" s="142">
        <v>1517</v>
      </c>
      <c r="N17" s="142">
        <v>1517</v>
      </c>
      <c r="O17" s="142">
        <v>1517</v>
      </c>
      <c r="P17" s="142">
        <v>1517</v>
      </c>
      <c r="Q17" s="142">
        <v>1517</v>
      </c>
    </row>
    <row r="18" spans="1:18" s="143" customFormat="1" ht="24" thickBot="1" x14ac:dyDescent="0.4">
      <c r="A18" s="143" t="s">
        <v>197</v>
      </c>
      <c r="R18" s="144">
        <f>SUM(C18:Q18)</f>
        <v>0</v>
      </c>
    </row>
    <row r="19" spans="1:18" s="139" customFormat="1" x14ac:dyDescent="0.2">
      <c r="A19" s="139" t="s">
        <v>108</v>
      </c>
      <c r="C19" s="139" t="e">
        <f>C18+C17+C16</f>
        <v>#REF!</v>
      </c>
      <c r="D19" s="139" t="e">
        <f t="shared" ref="D19:Q19" si="8">D18+D17+D16</f>
        <v>#REF!</v>
      </c>
      <c r="E19" s="139" t="e">
        <f t="shared" si="8"/>
        <v>#REF!</v>
      </c>
      <c r="F19" s="139" t="e">
        <f t="shared" si="8"/>
        <v>#REF!</v>
      </c>
      <c r="G19" s="139" t="e">
        <f t="shared" si="8"/>
        <v>#REF!</v>
      </c>
      <c r="H19" s="139" t="e">
        <f t="shared" si="8"/>
        <v>#REF!</v>
      </c>
      <c r="I19" s="139" t="e">
        <f t="shared" si="8"/>
        <v>#REF!</v>
      </c>
      <c r="J19" s="139" t="e">
        <f t="shared" si="8"/>
        <v>#REF!</v>
      </c>
      <c r="K19" s="139" t="e">
        <f t="shared" si="8"/>
        <v>#REF!</v>
      </c>
      <c r="L19" s="139" t="e">
        <f t="shared" si="8"/>
        <v>#REF!</v>
      </c>
      <c r="M19" s="139" t="e">
        <f t="shared" si="8"/>
        <v>#REF!</v>
      </c>
      <c r="N19" s="139" t="e">
        <f t="shared" si="8"/>
        <v>#REF!</v>
      </c>
      <c r="O19" s="139" t="e">
        <f t="shared" si="8"/>
        <v>#REF!</v>
      </c>
      <c r="P19" s="139" t="e">
        <f t="shared" si="8"/>
        <v>#REF!</v>
      </c>
      <c r="Q19" s="139" t="e">
        <f t="shared" si="8"/>
        <v>#REF!</v>
      </c>
    </row>
    <row r="20" spans="1:18" x14ac:dyDescent="0.2">
      <c r="E20" s="138"/>
      <c r="F20" s="138"/>
      <c r="G20" s="138"/>
      <c r="H20" s="138"/>
      <c r="I20" s="138"/>
      <c r="J20" s="138"/>
      <c r="K20" s="138"/>
      <c r="L20" s="138"/>
    </row>
    <row r="21" spans="1:18" x14ac:dyDescent="0.2">
      <c r="C21" s="145"/>
      <c r="D21" s="145"/>
      <c r="E21" s="146"/>
      <c r="F21" s="146"/>
      <c r="G21" s="146"/>
      <c r="H21" s="146"/>
      <c r="I21" s="146"/>
      <c r="J21" s="146"/>
      <c r="K21" s="146"/>
      <c r="L21" s="146"/>
      <c r="M21" s="145"/>
      <c r="N21" s="145"/>
      <c r="O21" s="145"/>
      <c r="P21" s="145"/>
      <c r="Q21" s="145"/>
    </row>
    <row r="22" spans="1:18" x14ac:dyDescent="0.2">
      <c r="A22" s="139" t="s">
        <v>28</v>
      </c>
      <c r="C22" s="145"/>
      <c r="D22" s="145"/>
      <c r="E22" s="146"/>
      <c r="F22" s="146"/>
      <c r="G22" s="146"/>
      <c r="H22" s="146"/>
      <c r="I22" s="146"/>
      <c r="J22" s="146"/>
      <c r="K22" s="146"/>
      <c r="L22" s="146"/>
      <c r="M22" s="145"/>
      <c r="N22" s="145"/>
      <c r="O22" s="145"/>
      <c r="P22" s="145"/>
      <c r="Q22" s="145"/>
    </row>
    <row r="23" spans="1:18" ht="25.5" x14ac:dyDescent="0.2">
      <c r="A23" s="147" t="s">
        <v>106</v>
      </c>
      <c r="C23" s="145">
        <v>16000</v>
      </c>
      <c r="D23" s="145">
        <f t="shared" ref="D23:Q26" si="9">C23*$C$7+C23</f>
        <v>16640</v>
      </c>
      <c r="E23" s="145">
        <f t="shared" si="9"/>
        <v>17305.599999999999</v>
      </c>
      <c r="F23" s="145">
        <f t="shared" si="9"/>
        <v>17997.823999999997</v>
      </c>
      <c r="G23" s="145">
        <f t="shared" si="9"/>
        <v>18717.736959999998</v>
      </c>
      <c r="H23" s="145">
        <f t="shared" si="9"/>
        <v>19466.446438399998</v>
      </c>
      <c r="I23" s="145">
        <f t="shared" si="9"/>
        <v>20245.104295935998</v>
      </c>
      <c r="J23" s="145">
        <f t="shared" si="9"/>
        <v>21054.908467773439</v>
      </c>
      <c r="K23" s="145">
        <f t="shared" si="9"/>
        <v>21897.104806484378</v>
      </c>
      <c r="L23" s="145">
        <f t="shared" si="9"/>
        <v>22772.988998743753</v>
      </c>
      <c r="M23" s="145">
        <f t="shared" si="9"/>
        <v>23683.908558693503</v>
      </c>
      <c r="N23" s="145">
        <f t="shared" si="9"/>
        <v>24631.264901041242</v>
      </c>
      <c r="O23" s="145">
        <f t="shared" si="9"/>
        <v>25616.515497082892</v>
      </c>
      <c r="P23" s="145">
        <f t="shared" si="9"/>
        <v>26641.176116966206</v>
      </c>
      <c r="Q23" s="145">
        <f t="shared" si="9"/>
        <v>27706.823161644854</v>
      </c>
    </row>
    <row r="24" spans="1:18" x14ac:dyDescent="0.2">
      <c r="A24" s="89" t="s">
        <v>33</v>
      </c>
      <c r="B24" s="89">
        <v>550</v>
      </c>
      <c r="C24" s="145">
        <v>6600</v>
      </c>
      <c r="D24" s="145">
        <f t="shared" si="9"/>
        <v>6864</v>
      </c>
      <c r="E24" s="145">
        <f t="shared" si="9"/>
        <v>7138.56</v>
      </c>
      <c r="F24" s="145">
        <f t="shared" si="9"/>
        <v>7424.1024000000007</v>
      </c>
      <c r="G24" s="145">
        <f t="shared" si="9"/>
        <v>7721.0664960000004</v>
      </c>
      <c r="H24" s="145">
        <f t="shared" si="9"/>
        <v>8029.9091558400005</v>
      </c>
      <c r="I24" s="145">
        <f t="shared" si="9"/>
        <v>8351.1055220735998</v>
      </c>
      <c r="J24" s="145">
        <f t="shared" si="9"/>
        <v>8685.1497429565443</v>
      </c>
      <c r="K24" s="145">
        <f t="shared" si="9"/>
        <v>9032.5557326748058</v>
      </c>
      <c r="L24" s="145">
        <f t="shared" si="9"/>
        <v>9393.8579619817974</v>
      </c>
      <c r="M24" s="145">
        <f t="shared" si="9"/>
        <v>9769.6122804610695</v>
      </c>
      <c r="N24" s="145">
        <f t="shared" si="9"/>
        <v>10160.396771679512</v>
      </c>
      <c r="O24" s="145">
        <f t="shared" si="9"/>
        <v>10566.812642546693</v>
      </c>
      <c r="P24" s="145">
        <f t="shared" si="9"/>
        <v>10989.485148248561</v>
      </c>
      <c r="Q24" s="145">
        <f t="shared" si="9"/>
        <v>11429.064554178503</v>
      </c>
    </row>
    <row r="25" spans="1:18" x14ac:dyDescent="0.2">
      <c r="A25" s="89" t="s">
        <v>180</v>
      </c>
      <c r="C25" s="145">
        <v>5500</v>
      </c>
      <c r="D25" s="145">
        <f t="shared" si="9"/>
        <v>5720</v>
      </c>
      <c r="E25" s="145">
        <f t="shared" si="9"/>
        <v>5948.8</v>
      </c>
      <c r="F25" s="145">
        <f t="shared" si="9"/>
        <v>6186.7520000000004</v>
      </c>
      <c r="G25" s="145">
        <f t="shared" si="9"/>
        <v>6434.2220800000005</v>
      </c>
      <c r="H25" s="145">
        <f t="shared" si="9"/>
        <v>6691.5909632000003</v>
      </c>
      <c r="I25" s="145">
        <f t="shared" si="9"/>
        <v>6959.2546017280001</v>
      </c>
      <c r="J25" s="145">
        <f t="shared" si="9"/>
        <v>7237.6247857971202</v>
      </c>
      <c r="K25" s="145">
        <f t="shared" si="9"/>
        <v>7527.1297772290054</v>
      </c>
      <c r="L25" s="145">
        <f t="shared" si="9"/>
        <v>7828.214968318166</v>
      </c>
      <c r="M25" s="145">
        <f t="shared" si="9"/>
        <v>8141.3435670508925</v>
      </c>
      <c r="N25" s="145">
        <f t="shared" si="9"/>
        <v>8466.9973097329275</v>
      </c>
      <c r="O25" s="145">
        <f t="shared" si="9"/>
        <v>8805.6772021222441</v>
      </c>
      <c r="P25" s="145">
        <f t="shared" si="9"/>
        <v>9157.9042902071342</v>
      </c>
      <c r="Q25" s="145">
        <f t="shared" si="9"/>
        <v>9524.2204618154192</v>
      </c>
    </row>
    <row r="26" spans="1:18" x14ac:dyDescent="0.2">
      <c r="A26" s="147" t="s">
        <v>181</v>
      </c>
      <c r="C26" s="167">
        <v>9448</v>
      </c>
      <c r="D26" s="145">
        <f t="shared" si="9"/>
        <v>9825.92</v>
      </c>
      <c r="E26" s="145">
        <f t="shared" si="9"/>
        <v>10218.9568</v>
      </c>
      <c r="F26" s="145">
        <f t="shared" si="9"/>
        <v>10627.715071999999</v>
      </c>
      <c r="G26" s="145">
        <f t="shared" si="9"/>
        <v>11052.823674879999</v>
      </c>
      <c r="H26" s="145">
        <f t="shared" si="9"/>
        <v>11494.936621875198</v>
      </c>
      <c r="I26" s="145">
        <f t="shared" si="9"/>
        <v>11954.734086750206</v>
      </c>
      <c r="J26" s="145">
        <f t="shared" si="9"/>
        <v>12432.923450220214</v>
      </c>
      <c r="K26" s="145">
        <f t="shared" si="9"/>
        <v>12930.240388229024</v>
      </c>
      <c r="L26" s="145">
        <f t="shared" si="9"/>
        <v>13447.450003758184</v>
      </c>
      <c r="M26" s="145">
        <f t="shared" si="9"/>
        <v>13985.348003908512</v>
      </c>
      <c r="N26" s="145">
        <f t="shared" si="9"/>
        <v>14544.761924064853</v>
      </c>
      <c r="O26" s="145">
        <f t="shared" si="9"/>
        <v>15126.552401027448</v>
      </c>
      <c r="P26" s="145">
        <f t="shared" si="9"/>
        <v>15731.614497068545</v>
      </c>
      <c r="Q26" s="145">
        <f t="shared" si="9"/>
        <v>16360.879076951287</v>
      </c>
    </row>
    <row r="27" spans="1:18" ht="15.75" customHeight="1" x14ac:dyDescent="0.2">
      <c r="A27" s="89" t="s">
        <v>107</v>
      </c>
      <c r="B27" s="89">
        <v>0.1</v>
      </c>
      <c r="C27" s="145" t="e">
        <f>$B$27*C3</f>
        <v>#REF!</v>
      </c>
      <c r="D27" s="145" t="e">
        <f>$B$27*D19</f>
        <v>#REF!</v>
      </c>
      <c r="E27" s="145" t="e">
        <f>$B$27*E19</f>
        <v>#REF!</v>
      </c>
      <c r="F27" s="145" t="e">
        <f t="shared" ref="F27:Q27" si="10">$B$27*F19</f>
        <v>#REF!</v>
      </c>
      <c r="G27" s="145" t="e">
        <f t="shared" si="10"/>
        <v>#REF!</v>
      </c>
      <c r="H27" s="145" t="e">
        <f t="shared" si="10"/>
        <v>#REF!</v>
      </c>
      <c r="I27" s="145" t="e">
        <f t="shared" si="10"/>
        <v>#REF!</v>
      </c>
      <c r="J27" s="145" t="e">
        <f t="shared" si="10"/>
        <v>#REF!</v>
      </c>
      <c r="K27" s="145" t="e">
        <f t="shared" si="10"/>
        <v>#REF!</v>
      </c>
      <c r="L27" s="145" t="e">
        <f t="shared" si="10"/>
        <v>#REF!</v>
      </c>
      <c r="M27" s="145" t="e">
        <f t="shared" si="10"/>
        <v>#REF!</v>
      </c>
      <c r="N27" s="145" t="e">
        <f t="shared" si="10"/>
        <v>#REF!</v>
      </c>
      <c r="O27" s="145" t="e">
        <f t="shared" si="10"/>
        <v>#REF!</v>
      </c>
      <c r="P27" s="145" t="e">
        <f t="shared" si="10"/>
        <v>#REF!</v>
      </c>
      <c r="Q27" s="145" t="e">
        <f t="shared" si="10"/>
        <v>#REF!</v>
      </c>
      <c r="R27" s="145">
        <f t="shared" ref="R27" si="11">$B$27*R3</f>
        <v>0</v>
      </c>
    </row>
    <row r="28" spans="1:18" ht="15.75" customHeight="1" x14ac:dyDescent="0.2">
      <c r="A28" s="89" t="s">
        <v>182</v>
      </c>
      <c r="C28" s="145">
        <v>15360</v>
      </c>
      <c r="D28" s="145">
        <f>C28*$C$7+C28</f>
        <v>15974.4</v>
      </c>
      <c r="E28" s="145">
        <f t="shared" ref="E28:Q29" si="12">D28*$C$7+D28</f>
        <v>16613.376</v>
      </c>
      <c r="F28" s="145">
        <f t="shared" si="12"/>
        <v>17277.911039999999</v>
      </c>
      <c r="G28" s="145">
        <f t="shared" si="12"/>
        <v>17969.027481599998</v>
      </c>
      <c r="H28" s="145">
        <f t="shared" si="12"/>
        <v>18687.788580863999</v>
      </c>
      <c r="I28" s="145">
        <f t="shared" si="12"/>
        <v>19435.300124098558</v>
      </c>
      <c r="J28" s="145">
        <f t="shared" si="12"/>
        <v>20212.7121290625</v>
      </c>
      <c r="K28" s="145">
        <f t="shared" si="12"/>
        <v>21021.220614225</v>
      </c>
      <c r="L28" s="145">
        <f t="shared" si="12"/>
        <v>21862.069438793998</v>
      </c>
      <c r="M28" s="145">
        <f t="shared" si="12"/>
        <v>22736.552216345757</v>
      </c>
      <c r="N28" s="145">
        <f t="shared" si="12"/>
        <v>23646.014304999586</v>
      </c>
      <c r="O28" s="145">
        <f t="shared" si="12"/>
        <v>24591.85487719957</v>
      </c>
      <c r="P28" s="145">
        <f t="shared" si="12"/>
        <v>25575.529072287554</v>
      </c>
      <c r="Q28" s="145">
        <f t="shared" si="12"/>
        <v>26598.550235179056</v>
      </c>
    </row>
    <row r="29" spans="1:18" ht="15.75" customHeight="1" x14ac:dyDescent="0.2">
      <c r="A29" s="89" t="s">
        <v>183</v>
      </c>
      <c r="C29" s="145">
        <v>10000</v>
      </c>
      <c r="D29" s="146">
        <f>C29*$C$7+C29</f>
        <v>10400</v>
      </c>
      <c r="E29" s="146">
        <f t="shared" si="12"/>
        <v>10816</v>
      </c>
      <c r="F29" s="146">
        <f t="shared" si="12"/>
        <v>11248.64</v>
      </c>
      <c r="G29" s="146">
        <f t="shared" si="12"/>
        <v>11698.585599999999</v>
      </c>
      <c r="H29" s="146">
        <f t="shared" si="12"/>
        <v>12166.529023999998</v>
      </c>
      <c r="I29" s="146">
        <f t="shared" si="12"/>
        <v>12653.190184959998</v>
      </c>
      <c r="J29" s="146">
        <f t="shared" si="12"/>
        <v>13159.317792358397</v>
      </c>
      <c r="K29" s="146">
        <f t="shared" si="12"/>
        <v>13685.690504052733</v>
      </c>
      <c r="L29" s="146">
        <f t="shared" si="12"/>
        <v>14233.118124214841</v>
      </c>
      <c r="M29" s="146">
        <f t="shared" si="12"/>
        <v>14802.442849183435</v>
      </c>
      <c r="N29" s="146">
        <f t="shared" si="12"/>
        <v>15394.540563150773</v>
      </c>
      <c r="O29" s="146">
        <f t="shared" si="12"/>
        <v>16010.322185676803</v>
      </c>
      <c r="P29" s="146">
        <f t="shared" si="12"/>
        <v>16650.735073103875</v>
      </c>
      <c r="Q29" s="146">
        <f t="shared" si="12"/>
        <v>17316.764476028031</v>
      </c>
    </row>
    <row r="30" spans="1:18" ht="14.25" customHeight="1" x14ac:dyDescent="0.2">
      <c r="A30" s="89" t="s">
        <v>36</v>
      </c>
      <c r="B30" s="89">
        <v>420</v>
      </c>
      <c r="C30" s="145">
        <f>B30*C5</f>
        <v>5040</v>
      </c>
      <c r="D30" s="145">
        <f>C30*$C$6+C30</f>
        <v>5191.2</v>
      </c>
      <c r="E30" s="145">
        <f t="shared" ref="E30:Q30" si="13">D30*$C$6+D30</f>
        <v>5346.9359999999997</v>
      </c>
      <c r="F30" s="145">
        <f t="shared" si="13"/>
        <v>5507.3440799999998</v>
      </c>
      <c r="G30" s="145">
        <f t="shared" si="13"/>
        <v>5672.5644023999994</v>
      </c>
      <c r="H30" s="145">
        <f t="shared" si="13"/>
        <v>5842.7413344719989</v>
      </c>
      <c r="I30" s="145">
        <f t="shared" si="13"/>
        <v>6018.0235745061591</v>
      </c>
      <c r="J30" s="145">
        <f t="shared" si="13"/>
        <v>6198.5642817413436</v>
      </c>
      <c r="K30" s="145">
        <f t="shared" si="13"/>
        <v>6384.521210193584</v>
      </c>
      <c r="L30" s="145">
        <f t="shared" si="13"/>
        <v>6576.0568464993912</v>
      </c>
      <c r="M30" s="145">
        <f t="shared" si="13"/>
        <v>6773.3385518943733</v>
      </c>
      <c r="N30" s="145">
        <f t="shared" si="13"/>
        <v>6976.538708451204</v>
      </c>
      <c r="O30" s="145">
        <f t="shared" si="13"/>
        <v>7185.8348697047404</v>
      </c>
      <c r="P30" s="145">
        <f t="shared" si="13"/>
        <v>7401.4099157958826</v>
      </c>
      <c r="Q30" s="145">
        <f t="shared" si="13"/>
        <v>7623.4522132697593</v>
      </c>
    </row>
    <row r="31" spans="1:18" ht="13.5" thickBot="1" x14ac:dyDescent="0.25">
      <c r="A31" s="89" t="s">
        <v>34</v>
      </c>
      <c r="B31" s="89">
        <v>440</v>
      </c>
      <c r="C31" s="145">
        <f>B31*C5</f>
        <v>5280</v>
      </c>
      <c r="D31" s="145">
        <f>B31*C5</f>
        <v>5280</v>
      </c>
      <c r="E31" s="145">
        <f>B31*C5</f>
        <v>5280</v>
      </c>
      <c r="F31" s="145">
        <f>B31*C5</f>
        <v>5280</v>
      </c>
      <c r="G31" s="145">
        <f>B31*C5</f>
        <v>5280</v>
      </c>
      <c r="H31" s="145">
        <f>B31*C5</f>
        <v>5280</v>
      </c>
      <c r="I31" s="145">
        <f>B31*C5</f>
        <v>5280</v>
      </c>
      <c r="J31" s="145">
        <f>B31*C5</f>
        <v>5280</v>
      </c>
      <c r="K31" s="145">
        <f>B31*C5</f>
        <v>5280</v>
      </c>
      <c r="L31" s="145">
        <f>B31*C5</f>
        <v>5280</v>
      </c>
      <c r="M31" s="145">
        <f>B31*C5</f>
        <v>5280</v>
      </c>
      <c r="N31" s="145">
        <f>B31*C5</f>
        <v>5280</v>
      </c>
      <c r="O31" s="145">
        <f>B31*C5</f>
        <v>5280</v>
      </c>
      <c r="P31" s="145">
        <f>B31*C5</f>
        <v>5280</v>
      </c>
      <c r="Q31" s="145">
        <f>B31*C5</f>
        <v>5280</v>
      </c>
    </row>
    <row r="32" spans="1:18" s="139" customFormat="1" ht="13.5" thickBot="1" x14ac:dyDescent="0.25">
      <c r="A32" s="139" t="s">
        <v>35</v>
      </c>
      <c r="B32" s="148"/>
      <c r="C32" s="149" t="e">
        <f>SUM(C23:C31)</f>
        <v>#REF!</v>
      </c>
      <c r="D32" s="148" t="e">
        <f t="shared" ref="D32:Q32" si="14">SUM(D23:D31)</f>
        <v>#REF!</v>
      </c>
      <c r="E32" s="148" t="e">
        <f t="shared" si="14"/>
        <v>#REF!</v>
      </c>
      <c r="F32" s="148" t="e">
        <f t="shared" si="14"/>
        <v>#REF!</v>
      </c>
      <c r="G32" s="148" t="e">
        <f t="shared" si="14"/>
        <v>#REF!</v>
      </c>
      <c r="H32" s="148" t="e">
        <f t="shared" si="14"/>
        <v>#REF!</v>
      </c>
      <c r="I32" s="148" t="e">
        <f t="shared" si="14"/>
        <v>#REF!</v>
      </c>
      <c r="J32" s="148" t="e">
        <f t="shared" si="14"/>
        <v>#REF!</v>
      </c>
      <c r="K32" s="148" t="e">
        <f t="shared" si="14"/>
        <v>#REF!</v>
      </c>
      <c r="L32" s="148" t="e">
        <f t="shared" si="14"/>
        <v>#REF!</v>
      </c>
      <c r="M32" s="148" t="e">
        <f t="shared" si="14"/>
        <v>#REF!</v>
      </c>
      <c r="N32" s="148" t="e">
        <f t="shared" si="14"/>
        <v>#REF!</v>
      </c>
      <c r="O32" s="148" t="e">
        <f t="shared" si="14"/>
        <v>#REF!</v>
      </c>
      <c r="P32" s="148" t="e">
        <f t="shared" si="14"/>
        <v>#REF!</v>
      </c>
      <c r="Q32" s="148" t="e">
        <f t="shared" si="14"/>
        <v>#REF!</v>
      </c>
    </row>
    <row r="33" spans="1:17" ht="13.5" thickBot="1" x14ac:dyDescent="0.25"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</row>
    <row r="34" spans="1:17" s="151" customFormat="1" ht="13.5" thickBot="1" x14ac:dyDescent="0.25">
      <c r="A34" s="150" t="s">
        <v>72</v>
      </c>
      <c r="C34" s="152" t="e">
        <f t="shared" ref="C34:Q34" si="15">C19-C32</f>
        <v>#REF!</v>
      </c>
      <c r="D34" s="145" t="e">
        <f t="shared" si="15"/>
        <v>#REF!</v>
      </c>
      <c r="E34" s="145" t="e">
        <f t="shared" si="15"/>
        <v>#REF!</v>
      </c>
      <c r="F34" s="145" t="e">
        <f t="shared" si="15"/>
        <v>#REF!</v>
      </c>
      <c r="G34" s="145" t="e">
        <f t="shared" si="15"/>
        <v>#REF!</v>
      </c>
      <c r="H34" s="145" t="e">
        <f t="shared" si="15"/>
        <v>#REF!</v>
      </c>
      <c r="I34" s="145" t="e">
        <f t="shared" si="15"/>
        <v>#REF!</v>
      </c>
      <c r="J34" s="145" t="e">
        <f t="shared" si="15"/>
        <v>#REF!</v>
      </c>
      <c r="K34" s="145" t="e">
        <f t="shared" si="15"/>
        <v>#REF!</v>
      </c>
      <c r="L34" s="145" t="e">
        <f t="shared" si="15"/>
        <v>#REF!</v>
      </c>
      <c r="M34" s="145" t="e">
        <f t="shared" si="15"/>
        <v>#REF!</v>
      </c>
      <c r="N34" s="145" t="e">
        <f t="shared" si="15"/>
        <v>#REF!</v>
      </c>
      <c r="O34" s="145" t="e">
        <f t="shared" si="15"/>
        <v>#REF!</v>
      </c>
      <c r="P34" s="145" t="e">
        <f t="shared" si="15"/>
        <v>#REF!</v>
      </c>
      <c r="Q34" s="145" t="e">
        <f t="shared" si="15"/>
        <v>#REF!</v>
      </c>
    </row>
    <row r="35" spans="1:17" s="151" customFormat="1" x14ac:dyDescent="0.2">
      <c r="A35" s="153" t="s">
        <v>195</v>
      </c>
      <c r="B35" s="154"/>
      <c r="C35" s="148" t="e">
        <f>C34/C36</f>
        <v>#REF!</v>
      </c>
      <c r="D35" s="148" t="e">
        <f>+C35</f>
        <v>#REF!</v>
      </c>
      <c r="E35" s="148" t="e">
        <f>+D35</f>
        <v>#REF!</v>
      </c>
      <c r="F35" s="148" t="e">
        <f t="shared" ref="F35:Q35" si="16">+E35</f>
        <v>#REF!</v>
      </c>
      <c r="G35" s="148" t="e">
        <f t="shared" si="16"/>
        <v>#REF!</v>
      </c>
      <c r="H35" s="148" t="e">
        <f t="shared" si="16"/>
        <v>#REF!</v>
      </c>
      <c r="I35" s="148" t="e">
        <f t="shared" si="16"/>
        <v>#REF!</v>
      </c>
      <c r="J35" s="148" t="e">
        <f t="shared" si="16"/>
        <v>#REF!</v>
      </c>
      <c r="K35" s="148" t="e">
        <f t="shared" si="16"/>
        <v>#REF!</v>
      </c>
      <c r="L35" s="148" t="e">
        <f t="shared" si="16"/>
        <v>#REF!</v>
      </c>
      <c r="M35" s="148" t="e">
        <f t="shared" si="16"/>
        <v>#REF!</v>
      </c>
      <c r="N35" s="148" t="e">
        <f t="shared" si="16"/>
        <v>#REF!</v>
      </c>
      <c r="O35" s="148" t="e">
        <f t="shared" si="16"/>
        <v>#REF!</v>
      </c>
      <c r="P35" s="148" t="e">
        <f t="shared" si="16"/>
        <v>#REF!</v>
      </c>
      <c r="Q35" s="148" t="e">
        <f t="shared" si="16"/>
        <v>#REF!</v>
      </c>
    </row>
    <row r="36" spans="1:17" s="174" customFormat="1" x14ac:dyDescent="0.2">
      <c r="A36" s="171" t="s">
        <v>73</v>
      </c>
      <c r="B36" s="172"/>
      <c r="C36" s="173">
        <v>1.37</v>
      </c>
      <c r="D36" s="173" t="e">
        <f>D34/D35</f>
        <v>#REF!</v>
      </c>
      <c r="E36" s="173" t="e">
        <f t="shared" ref="E36:Q36" si="17">E34/E35</f>
        <v>#REF!</v>
      </c>
      <c r="F36" s="173" t="e">
        <f t="shared" si="17"/>
        <v>#REF!</v>
      </c>
      <c r="G36" s="173" t="e">
        <f t="shared" si="17"/>
        <v>#REF!</v>
      </c>
      <c r="H36" s="173" t="e">
        <f t="shared" si="17"/>
        <v>#REF!</v>
      </c>
      <c r="I36" s="173" t="e">
        <f t="shared" si="17"/>
        <v>#REF!</v>
      </c>
      <c r="J36" s="173" t="e">
        <f t="shared" si="17"/>
        <v>#REF!</v>
      </c>
      <c r="K36" s="173" t="e">
        <f t="shared" si="17"/>
        <v>#REF!</v>
      </c>
      <c r="L36" s="173" t="e">
        <f t="shared" si="17"/>
        <v>#REF!</v>
      </c>
      <c r="M36" s="173" t="e">
        <f t="shared" si="17"/>
        <v>#REF!</v>
      </c>
      <c r="N36" s="173" t="e">
        <f t="shared" si="17"/>
        <v>#REF!</v>
      </c>
      <c r="O36" s="173" t="e">
        <f t="shared" si="17"/>
        <v>#REF!</v>
      </c>
      <c r="P36" s="173" t="e">
        <f t="shared" si="17"/>
        <v>#REF!</v>
      </c>
      <c r="Q36" s="173" t="e">
        <f t="shared" si="17"/>
        <v>#REF!</v>
      </c>
    </row>
    <row r="37" spans="1:17" s="151" customFormat="1" x14ac:dyDescent="0.2">
      <c r="A37" s="153" t="s">
        <v>74</v>
      </c>
      <c r="B37" s="154"/>
      <c r="C37" s="148" t="e">
        <f>C34-C35</f>
        <v>#REF!</v>
      </c>
      <c r="D37" s="148" t="e">
        <f t="shared" ref="D37:Q37" si="18">D34-D35</f>
        <v>#REF!</v>
      </c>
      <c r="E37" s="148" t="e">
        <f t="shared" si="18"/>
        <v>#REF!</v>
      </c>
      <c r="F37" s="148" t="e">
        <f t="shared" si="18"/>
        <v>#REF!</v>
      </c>
      <c r="G37" s="148" t="e">
        <f t="shared" si="18"/>
        <v>#REF!</v>
      </c>
      <c r="H37" s="148" t="e">
        <f t="shared" si="18"/>
        <v>#REF!</v>
      </c>
      <c r="I37" s="148" t="e">
        <f t="shared" si="18"/>
        <v>#REF!</v>
      </c>
      <c r="J37" s="148" t="e">
        <f t="shared" si="18"/>
        <v>#REF!</v>
      </c>
      <c r="K37" s="148" t="e">
        <f t="shared" si="18"/>
        <v>#REF!</v>
      </c>
      <c r="L37" s="148" t="e">
        <f t="shared" si="18"/>
        <v>#REF!</v>
      </c>
      <c r="M37" s="148" t="e">
        <f t="shared" si="18"/>
        <v>#REF!</v>
      </c>
      <c r="N37" s="148" t="e">
        <f t="shared" si="18"/>
        <v>#REF!</v>
      </c>
      <c r="O37" s="148" t="e">
        <f t="shared" si="18"/>
        <v>#REF!</v>
      </c>
      <c r="P37" s="148" t="e">
        <f t="shared" si="18"/>
        <v>#REF!</v>
      </c>
      <c r="Q37" s="148" t="e">
        <f t="shared" si="18"/>
        <v>#REF!</v>
      </c>
    </row>
    <row r="38" spans="1:17" s="151" customFormat="1" ht="25.5" x14ac:dyDescent="0.2">
      <c r="A38" s="155" t="s">
        <v>198</v>
      </c>
      <c r="B38" s="156" t="e">
        <f>C38/C37</f>
        <v>#REF!</v>
      </c>
      <c r="C38" s="145" t="e">
        <f>C$37/2</f>
        <v>#REF!</v>
      </c>
      <c r="D38" s="145" t="e">
        <f t="shared" ref="D38:Q38" si="19">$B$38*D37</f>
        <v>#REF!</v>
      </c>
      <c r="E38" s="145" t="e">
        <f t="shared" si="19"/>
        <v>#REF!</v>
      </c>
      <c r="F38" s="145" t="e">
        <f t="shared" si="19"/>
        <v>#REF!</v>
      </c>
      <c r="G38" s="145" t="e">
        <f t="shared" si="19"/>
        <v>#REF!</v>
      </c>
      <c r="H38" s="145" t="e">
        <f t="shared" si="19"/>
        <v>#REF!</v>
      </c>
      <c r="I38" s="145" t="e">
        <f t="shared" si="19"/>
        <v>#REF!</v>
      </c>
      <c r="J38" s="145" t="e">
        <f t="shared" si="19"/>
        <v>#REF!</v>
      </c>
      <c r="K38" s="145" t="e">
        <f t="shared" si="19"/>
        <v>#REF!</v>
      </c>
      <c r="L38" s="145" t="e">
        <f t="shared" si="19"/>
        <v>#REF!</v>
      </c>
      <c r="M38" s="145" t="e">
        <f t="shared" si="19"/>
        <v>#REF!</v>
      </c>
      <c r="N38" s="145" t="e">
        <f t="shared" si="19"/>
        <v>#REF!</v>
      </c>
      <c r="O38" s="145" t="e">
        <f t="shared" si="19"/>
        <v>#REF!</v>
      </c>
      <c r="P38" s="145" t="e">
        <f t="shared" si="19"/>
        <v>#REF!</v>
      </c>
      <c r="Q38" s="145" t="e">
        <f t="shared" si="19"/>
        <v>#REF!</v>
      </c>
    </row>
    <row r="39" spans="1:17" s="151" customFormat="1" ht="25.5" x14ac:dyDescent="0.2">
      <c r="A39" s="157" t="s">
        <v>196</v>
      </c>
      <c r="B39" s="154" t="s">
        <v>204</v>
      </c>
      <c r="C39" s="148" t="e">
        <f>C37-C38</f>
        <v>#REF!</v>
      </c>
      <c r="D39" s="148" t="e">
        <f t="shared" ref="D39:Q39" si="20">D37-D38</f>
        <v>#REF!</v>
      </c>
      <c r="E39" s="148" t="e">
        <f t="shared" si="20"/>
        <v>#REF!</v>
      </c>
      <c r="F39" s="148" t="e">
        <f t="shared" si="20"/>
        <v>#REF!</v>
      </c>
      <c r="G39" s="148" t="e">
        <f t="shared" si="20"/>
        <v>#REF!</v>
      </c>
      <c r="H39" s="148" t="e">
        <f t="shared" si="20"/>
        <v>#REF!</v>
      </c>
      <c r="I39" s="148" t="e">
        <f t="shared" si="20"/>
        <v>#REF!</v>
      </c>
      <c r="J39" s="148" t="e">
        <f t="shared" si="20"/>
        <v>#REF!</v>
      </c>
      <c r="K39" s="148" t="e">
        <f t="shared" si="20"/>
        <v>#REF!</v>
      </c>
      <c r="L39" s="148" t="e">
        <f t="shared" si="20"/>
        <v>#REF!</v>
      </c>
      <c r="M39" s="148" t="e">
        <f t="shared" si="20"/>
        <v>#REF!</v>
      </c>
      <c r="N39" s="148" t="e">
        <f t="shared" si="20"/>
        <v>#REF!</v>
      </c>
      <c r="O39" s="148" t="e">
        <f t="shared" si="20"/>
        <v>#REF!</v>
      </c>
      <c r="P39" s="148" t="e">
        <f t="shared" si="20"/>
        <v>#REF!</v>
      </c>
      <c r="Q39" s="148" t="e">
        <f t="shared" si="20"/>
        <v>#REF!</v>
      </c>
    </row>
    <row r="41" spans="1:17" hidden="1" x14ac:dyDescent="0.2">
      <c r="A41" s="158" t="s">
        <v>207</v>
      </c>
      <c r="B41" s="159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</row>
    <row r="42" spans="1:17" hidden="1" x14ac:dyDescent="0.2">
      <c r="A42" s="160" t="s">
        <v>208</v>
      </c>
      <c r="C42" s="89">
        <f>+B42</f>
        <v>0</v>
      </c>
      <c r="D42" s="89" t="e">
        <f>C45</f>
        <v>#REF!</v>
      </c>
      <c r="E42" s="89" t="e">
        <f t="shared" ref="E42:Q42" si="21">D45</f>
        <v>#REF!</v>
      </c>
      <c r="F42" s="89" t="e">
        <f t="shared" si="21"/>
        <v>#REF!</v>
      </c>
      <c r="G42" s="89" t="e">
        <f t="shared" si="21"/>
        <v>#REF!</v>
      </c>
      <c r="H42" s="89" t="e">
        <f t="shared" si="21"/>
        <v>#REF!</v>
      </c>
      <c r="I42" s="89" t="e">
        <f t="shared" si="21"/>
        <v>#REF!</v>
      </c>
      <c r="J42" s="89" t="e">
        <f t="shared" si="21"/>
        <v>#REF!</v>
      </c>
      <c r="K42" s="89" t="e">
        <f t="shared" si="21"/>
        <v>#REF!</v>
      </c>
      <c r="L42" s="89" t="e">
        <f t="shared" si="21"/>
        <v>#REF!</v>
      </c>
      <c r="M42" s="89" t="e">
        <f t="shared" si="21"/>
        <v>#REF!</v>
      </c>
      <c r="N42" s="89" t="e">
        <f t="shared" si="21"/>
        <v>#REF!</v>
      </c>
      <c r="O42" s="89" t="e">
        <f t="shared" si="21"/>
        <v>#REF!</v>
      </c>
      <c r="P42" s="89" t="e">
        <f t="shared" si="21"/>
        <v>#REF!</v>
      </c>
      <c r="Q42" s="89" t="e">
        <f t="shared" si="21"/>
        <v>#REF!</v>
      </c>
    </row>
    <row r="43" spans="1:17" hidden="1" x14ac:dyDescent="0.2">
      <c r="A43" s="160" t="s">
        <v>209</v>
      </c>
    </row>
    <row r="44" spans="1:17" ht="18" hidden="1" x14ac:dyDescent="0.2">
      <c r="A44" s="160" t="s">
        <v>210</v>
      </c>
      <c r="C44" s="133" t="e">
        <f>IF(C37&lt;0,(C37),0)</f>
        <v>#REF!</v>
      </c>
      <c r="D44" s="133" t="e">
        <f t="shared" ref="D44:Q44" si="22">IF(D37&lt;0,(D37),0)</f>
        <v>#REF!</v>
      </c>
      <c r="E44" s="133" t="e">
        <f t="shared" si="22"/>
        <v>#REF!</v>
      </c>
      <c r="F44" s="133" t="e">
        <f t="shared" si="22"/>
        <v>#REF!</v>
      </c>
      <c r="G44" s="133" t="e">
        <f t="shared" si="22"/>
        <v>#REF!</v>
      </c>
      <c r="H44" s="133" t="e">
        <f t="shared" si="22"/>
        <v>#REF!</v>
      </c>
      <c r="I44" s="133" t="e">
        <f t="shared" si="22"/>
        <v>#REF!</v>
      </c>
      <c r="J44" s="133" t="e">
        <f t="shared" si="22"/>
        <v>#REF!</v>
      </c>
      <c r="K44" s="133" t="e">
        <f t="shared" si="22"/>
        <v>#REF!</v>
      </c>
      <c r="L44" s="133" t="e">
        <f t="shared" si="22"/>
        <v>#REF!</v>
      </c>
      <c r="M44" s="133" t="e">
        <f t="shared" si="22"/>
        <v>#REF!</v>
      </c>
      <c r="N44" s="133" t="e">
        <f t="shared" si="22"/>
        <v>#REF!</v>
      </c>
      <c r="O44" s="133" t="e">
        <f t="shared" si="22"/>
        <v>#REF!</v>
      </c>
      <c r="P44" s="133" t="e">
        <f t="shared" si="22"/>
        <v>#REF!</v>
      </c>
      <c r="Q44" s="133" t="e">
        <f t="shared" si="22"/>
        <v>#REF!</v>
      </c>
    </row>
    <row r="45" spans="1:17" hidden="1" x14ac:dyDescent="0.2">
      <c r="A45" s="161" t="s">
        <v>211</v>
      </c>
      <c r="C45" s="89" t="e">
        <f>SUM(C42:C44)</f>
        <v>#REF!</v>
      </c>
      <c r="D45" s="89" t="e">
        <f t="shared" ref="D45:Q45" si="23">SUM(D42:D44)</f>
        <v>#REF!</v>
      </c>
      <c r="E45" s="89" t="e">
        <f t="shared" si="23"/>
        <v>#REF!</v>
      </c>
      <c r="F45" s="89" t="e">
        <f t="shared" si="23"/>
        <v>#REF!</v>
      </c>
      <c r="G45" s="89" t="e">
        <f t="shared" si="23"/>
        <v>#REF!</v>
      </c>
      <c r="H45" s="89" t="e">
        <f t="shared" si="23"/>
        <v>#REF!</v>
      </c>
      <c r="I45" s="89" t="e">
        <f t="shared" si="23"/>
        <v>#REF!</v>
      </c>
      <c r="J45" s="89" t="e">
        <f t="shared" si="23"/>
        <v>#REF!</v>
      </c>
      <c r="K45" s="89" t="e">
        <f t="shared" si="23"/>
        <v>#REF!</v>
      </c>
      <c r="L45" s="89" t="e">
        <f t="shared" si="23"/>
        <v>#REF!</v>
      </c>
      <c r="M45" s="89" t="e">
        <f t="shared" si="23"/>
        <v>#REF!</v>
      </c>
      <c r="N45" s="89" t="e">
        <f t="shared" si="23"/>
        <v>#REF!</v>
      </c>
      <c r="O45" s="89" t="e">
        <f t="shared" si="23"/>
        <v>#REF!</v>
      </c>
      <c r="P45" s="89" t="e">
        <f t="shared" si="23"/>
        <v>#REF!</v>
      </c>
      <c r="Q45" s="89" t="e">
        <f t="shared" si="23"/>
        <v>#REF!</v>
      </c>
    </row>
    <row r="47" spans="1:17" s="151" customFormat="1" x14ac:dyDescent="0.2">
      <c r="A47" s="162"/>
      <c r="B47" s="150"/>
      <c r="C47" s="162" t="s">
        <v>75</v>
      </c>
      <c r="D47" s="89" t="s">
        <v>76</v>
      </c>
      <c r="E47" s="89"/>
      <c r="F47" s="89"/>
      <c r="G47" s="89"/>
    </row>
    <row r="48" spans="1:17" x14ac:dyDescent="0.2">
      <c r="A48" s="89" t="s">
        <v>92</v>
      </c>
      <c r="C48" s="169">
        <v>5.2999999999999999E-2</v>
      </c>
      <c r="D48" s="163">
        <f>C48/12</f>
        <v>4.4166666666666668E-3</v>
      </c>
    </row>
    <row r="49" spans="1:5" x14ac:dyDescent="0.2">
      <c r="A49" s="89" t="s">
        <v>93</v>
      </c>
      <c r="C49" s="168">
        <v>10</v>
      </c>
      <c r="D49" s="89">
        <f>C49*12</f>
        <v>120</v>
      </c>
    </row>
    <row r="50" spans="1:5" x14ac:dyDescent="0.2">
      <c r="A50" s="89" t="s">
        <v>68</v>
      </c>
      <c r="C50" s="89" t="e">
        <f>+C35</f>
        <v>#REF!</v>
      </c>
      <c r="D50" s="89" t="e">
        <f>C50/12</f>
        <v>#REF!</v>
      </c>
    </row>
    <row r="51" spans="1:5" hidden="1" x14ac:dyDescent="0.2"/>
    <row r="52" spans="1:5" hidden="1" x14ac:dyDescent="0.2">
      <c r="B52" s="89">
        <v>1</v>
      </c>
      <c r="C52" s="89" t="s">
        <v>192</v>
      </c>
      <c r="D52" s="139" t="e">
        <f>-PV(D48,D49,D50)</f>
        <v>#REF!</v>
      </c>
    </row>
    <row r="53" spans="1:5" hidden="1" x14ac:dyDescent="0.2">
      <c r="D53" s="145"/>
    </row>
    <row r="54" spans="1:5" hidden="1" x14ac:dyDescent="0.2">
      <c r="D54" s="145"/>
    </row>
    <row r="55" spans="1:5" ht="24" customHeight="1" thickBot="1" x14ac:dyDescent="0.25">
      <c r="C55" s="164"/>
      <c r="D55" s="165"/>
    </row>
    <row r="56" spans="1:5" ht="13.5" thickBot="1" x14ac:dyDescent="0.25">
      <c r="C56" s="165" t="s">
        <v>192</v>
      </c>
      <c r="D56" s="166">
        <v>98020</v>
      </c>
      <c r="E56" s="89" t="s">
        <v>212</v>
      </c>
    </row>
    <row r="57" spans="1:5" x14ac:dyDescent="0.2">
      <c r="C57" s="89" t="s">
        <v>213</v>
      </c>
      <c r="D57" s="132">
        <v>97812</v>
      </c>
    </row>
  </sheetData>
  <pageMargins left="0.7" right="0.7" top="0.75" bottom="0.75" header="0.3" footer="0.3"/>
  <pageSetup orientation="portrait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J27"/>
  <sheetViews>
    <sheetView workbookViewId="0">
      <selection activeCell="J13" sqref="J13"/>
    </sheetView>
  </sheetViews>
  <sheetFormatPr defaultRowHeight="15" x14ac:dyDescent="0.2"/>
  <cols>
    <col min="1" max="1" width="11.42578125" style="17" bestFit="1" customWidth="1"/>
    <col min="2" max="2" width="32.28515625" style="17" bestFit="1" customWidth="1"/>
    <col min="3" max="3" width="9.140625" style="17"/>
    <col min="4" max="4" width="10.42578125" style="17" customWidth="1"/>
    <col min="5" max="5" width="15.28515625" style="17" customWidth="1"/>
    <col min="6" max="7" width="12.85546875" style="17" customWidth="1"/>
    <col min="8" max="8" width="7.7109375" style="17" bestFit="1" customWidth="1"/>
    <col min="9" max="16384" width="9.140625" style="17"/>
  </cols>
  <sheetData>
    <row r="1" spans="1:8" ht="15.75" x14ac:dyDescent="0.25">
      <c r="B1" s="25" t="s">
        <v>407</v>
      </c>
    </row>
    <row r="2" spans="1:8" ht="15.75" x14ac:dyDescent="0.25">
      <c r="B2" s="25" t="s">
        <v>251</v>
      </c>
    </row>
    <row r="4" spans="1:8" ht="47.25" x14ac:dyDescent="0.25">
      <c r="B4" s="178" t="s">
        <v>215</v>
      </c>
      <c r="C4" s="178" t="s">
        <v>216</v>
      </c>
      <c r="D4" s="178" t="s">
        <v>0</v>
      </c>
      <c r="E4" s="178" t="s">
        <v>319</v>
      </c>
      <c r="F4" s="178" t="s">
        <v>320</v>
      </c>
      <c r="G4" s="178" t="s">
        <v>321</v>
      </c>
      <c r="H4" s="178" t="s">
        <v>205</v>
      </c>
    </row>
    <row r="5" spans="1:8" ht="15.75" x14ac:dyDescent="0.25">
      <c r="B5" s="178"/>
      <c r="C5" s="178"/>
      <c r="D5" s="178"/>
      <c r="E5" s="178"/>
      <c r="F5" s="178"/>
      <c r="G5" s="178"/>
      <c r="H5" s="178"/>
    </row>
    <row r="6" spans="1:8" ht="15.75" x14ac:dyDescent="0.25">
      <c r="B6" s="178"/>
      <c r="C6" s="178"/>
      <c r="D6" s="178"/>
      <c r="E6" s="178"/>
      <c r="F6" s="229">
        <v>0.1</v>
      </c>
      <c r="G6" s="178"/>
      <c r="H6" s="178"/>
    </row>
    <row r="7" spans="1:8" x14ac:dyDescent="0.2">
      <c r="B7" s="179"/>
      <c r="C7" s="179"/>
      <c r="D7" s="179"/>
      <c r="E7" s="230"/>
      <c r="F7" s="230"/>
      <c r="G7" s="179"/>
      <c r="H7" s="179"/>
    </row>
    <row r="8" spans="1:8" x14ac:dyDescent="0.2">
      <c r="A8" s="17" t="s">
        <v>322</v>
      </c>
      <c r="B8" s="179" t="s">
        <v>323</v>
      </c>
      <c r="C8" s="179">
        <v>690.45454545454572</v>
      </c>
      <c r="D8" s="179">
        <v>2</v>
      </c>
      <c r="E8" s="230">
        <f>D8*C8</f>
        <v>1380.9090909090914</v>
      </c>
      <c r="F8" s="230">
        <f>E8*F6</f>
        <v>138.09090909090915</v>
      </c>
      <c r="G8" s="230">
        <f>E8+F8</f>
        <v>1519.0000000000007</v>
      </c>
      <c r="H8" s="179"/>
    </row>
    <row r="9" spans="1:8" s="25" customFormat="1" ht="15.75" x14ac:dyDescent="0.25">
      <c r="A9" s="17" t="s">
        <v>324</v>
      </c>
      <c r="B9" s="179" t="s">
        <v>323</v>
      </c>
      <c r="C9" s="179">
        <v>690.45454545454572</v>
      </c>
      <c r="D9" s="179">
        <v>2</v>
      </c>
      <c r="E9" s="231">
        <f>D9*C9</f>
        <v>1380.9090909090914</v>
      </c>
      <c r="F9" s="231">
        <f>E9*F6</f>
        <v>138.09090909090915</v>
      </c>
      <c r="G9" s="231">
        <f>F9+E9</f>
        <v>1519.0000000000007</v>
      </c>
      <c r="H9" s="180"/>
    </row>
    <row r="10" spans="1:8" ht="15.75" x14ac:dyDescent="0.25">
      <c r="A10" s="17" t="s">
        <v>325</v>
      </c>
      <c r="B10" s="179" t="s">
        <v>323</v>
      </c>
      <c r="C10" s="179">
        <v>690.45454545454572</v>
      </c>
      <c r="D10" s="179">
        <v>2</v>
      </c>
      <c r="E10" s="231">
        <f>D10*C10</f>
        <v>1380.9090909090914</v>
      </c>
      <c r="F10" s="231">
        <f>E10*F6</f>
        <v>138.09090909090915</v>
      </c>
      <c r="G10" s="180">
        <f>F10+E10</f>
        <v>1519.0000000000007</v>
      </c>
      <c r="H10" s="181"/>
    </row>
    <row r="11" spans="1:8" ht="15.75" x14ac:dyDescent="0.25">
      <c r="B11" s="25"/>
      <c r="C11" s="25"/>
      <c r="D11" s="25">
        <f>SUM(D7:D10)</f>
        <v>6</v>
      </c>
      <c r="E11" s="25" t="s">
        <v>19</v>
      </c>
      <c r="F11" s="25"/>
      <c r="G11" s="25">
        <f>SUM(G7:G10)</f>
        <v>4557.0000000000018</v>
      </c>
    </row>
    <row r="16" spans="1:8" ht="15.75" x14ac:dyDescent="0.25">
      <c r="B16" s="227"/>
    </row>
    <row r="19" spans="2:10" x14ac:dyDescent="0.2">
      <c r="E19" s="226"/>
      <c r="F19" s="226"/>
      <c r="G19" s="226"/>
    </row>
    <row r="20" spans="2:10" x14ac:dyDescent="0.2">
      <c r="J20" s="228"/>
    </row>
    <row r="22" spans="2:10" x14ac:dyDescent="0.2">
      <c r="H22" s="228"/>
    </row>
    <row r="25" spans="2:10" ht="15.75" x14ac:dyDescent="0.25">
      <c r="B25" s="25"/>
    </row>
    <row r="26" spans="2:10" x14ac:dyDescent="0.2">
      <c r="E26" s="226"/>
      <c r="F26" s="226"/>
      <c r="G26" s="226"/>
    </row>
    <row r="27" spans="2:10" x14ac:dyDescent="0.2">
      <c r="H27" s="228"/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/>
  <dimension ref="A2:Y76"/>
  <sheetViews>
    <sheetView topLeftCell="A51" workbookViewId="0">
      <selection activeCell="A2" sqref="A2:S74"/>
    </sheetView>
  </sheetViews>
  <sheetFormatPr defaultRowHeight="11.25" x14ac:dyDescent="0.2"/>
  <cols>
    <col min="1" max="1" width="37.7109375" style="303" customWidth="1"/>
    <col min="2" max="2" width="11.7109375" style="237" hidden="1" customWidth="1"/>
    <col min="3" max="3" width="11.7109375" style="237" customWidth="1"/>
    <col min="4" max="4" width="12.42578125" style="237" customWidth="1"/>
    <col min="5" max="5" width="11.140625" style="238" customWidth="1"/>
    <col min="6" max="7" width="28.5703125" style="238" hidden="1" customWidth="1"/>
    <col min="8" max="8" width="132.7109375" style="238" hidden="1" customWidth="1"/>
    <col min="9" max="9" width="14.85546875" style="238" hidden="1" customWidth="1"/>
    <col min="10" max="13" width="18.28515625" style="238" hidden="1" customWidth="1"/>
    <col min="14" max="14" width="16.140625" style="238" hidden="1" customWidth="1"/>
    <col min="15" max="16" width="9.140625" style="238" hidden="1" customWidth="1"/>
    <col min="17" max="17" width="14.5703125" style="238" hidden="1" customWidth="1"/>
    <col min="18" max="18" width="19.42578125" style="238" hidden="1" customWidth="1"/>
    <col min="19" max="19" width="30" style="238" customWidth="1"/>
    <col min="20" max="20" width="12.28515625" style="238" hidden="1" customWidth="1"/>
    <col min="21" max="21" width="15.5703125" style="238" hidden="1" customWidth="1"/>
    <col min="22" max="23" width="0" style="238" hidden="1" customWidth="1"/>
    <col min="24" max="25" width="9.85546875" style="238" bestFit="1" customWidth="1"/>
    <col min="26" max="16384" width="9.140625" style="238"/>
  </cols>
  <sheetData>
    <row r="2" spans="1:24" x14ac:dyDescent="0.2">
      <c r="A2" s="304" t="str">
        <f>+'bostwick project size'!B1</f>
        <v>77 Bostwick Avenue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</row>
    <row r="3" spans="1:24" x14ac:dyDescent="0.2">
      <c r="A3" s="304" t="s">
        <v>3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</row>
    <row r="4" spans="1:24" hidden="1" x14ac:dyDescent="0.2">
      <c r="A4" s="304"/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</row>
    <row r="5" spans="1:24" hidden="1" x14ac:dyDescent="0.2">
      <c r="A5" s="305" t="s">
        <v>245</v>
      </c>
      <c r="B5" s="305">
        <v>2</v>
      </c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305"/>
      <c r="S5" s="305"/>
    </row>
    <row r="6" spans="1:24" hidden="1" x14ac:dyDescent="0.2">
      <c r="A6" s="305" t="s">
        <v>166</v>
      </c>
      <c r="B6" s="305">
        <f>+'bostwick project size'!D11</f>
        <v>6</v>
      </c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5"/>
      <c r="R6" s="305"/>
      <c r="S6" s="305"/>
    </row>
    <row r="7" spans="1:24" hidden="1" x14ac:dyDescent="0.2">
      <c r="A7" s="306" t="s">
        <v>232</v>
      </c>
      <c r="B7" s="305">
        <f>+'bostwick project size'!G11</f>
        <v>4557.0000000000018</v>
      </c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305"/>
    </row>
    <row r="8" spans="1:24" hidden="1" x14ac:dyDescent="0.2">
      <c r="A8" s="305" t="s">
        <v>178</v>
      </c>
      <c r="B8" s="307">
        <v>41535</v>
      </c>
      <c r="C8" s="305"/>
      <c r="D8" s="305"/>
      <c r="E8" s="305"/>
      <c r="F8" s="305"/>
      <c r="G8" s="305"/>
      <c r="H8" s="305"/>
      <c r="I8" s="305"/>
      <c r="J8" s="305"/>
      <c r="K8" s="305"/>
      <c r="L8" s="305"/>
      <c r="M8" s="305"/>
      <c r="N8" s="305"/>
      <c r="O8" s="305"/>
      <c r="P8" s="305"/>
      <c r="Q8" s="305"/>
      <c r="R8" s="305"/>
      <c r="S8" s="305"/>
    </row>
    <row r="9" spans="1:24" x14ac:dyDescent="0.2">
      <c r="A9" s="305"/>
      <c r="B9" s="307"/>
      <c r="C9" s="305"/>
      <c r="D9" s="305"/>
      <c r="E9" s="305"/>
      <c r="F9" s="305"/>
      <c r="G9" s="305"/>
      <c r="H9" s="305"/>
      <c r="I9" s="305"/>
      <c r="J9" s="305"/>
      <c r="K9" s="305"/>
      <c r="L9" s="305"/>
      <c r="M9" s="305"/>
      <c r="N9" s="305"/>
      <c r="O9" s="305"/>
      <c r="P9" s="305"/>
      <c r="Q9" s="305"/>
      <c r="R9" s="305"/>
      <c r="S9" s="305"/>
    </row>
    <row r="10" spans="1:24" s="245" customFormat="1" ht="22.5" x14ac:dyDescent="0.2">
      <c r="A10" s="308" t="s">
        <v>341</v>
      </c>
      <c r="B10" s="308" t="s">
        <v>66</v>
      </c>
      <c r="C10" s="309" t="s">
        <v>17</v>
      </c>
      <c r="D10" s="309" t="s">
        <v>18</v>
      </c>
      <c r="E10" s="308" t="s">
        <v>47</v>
      </c>
      <c r="F10" s="310" t="s">
        <v>342</v>
      </c>
      <c r="G10" s="311" t="s">
        <v>234</v>
      </c>
      <c r="H10" s="312" t="s">
        <v>205</v>
      </c>
      <c r="I10" s="312" t="s">
        <v>202</v>
      </c>
      <c r="J10" s="312"/>
      <c r="K10" s="312"/>
      <c r="L10" s="312"/>
      <c r="M10" s="312"/>
      <c r="N10" s="312"/>
      <c r="O10" s="312"/>
      <c r="P10" s="312"/>
      <c r="Q10" s="312"/>
      <c r="R10" s="313" t="s">
        <v>326</v>
      </c>
      <c r="S10" s="310" t="s">
        <v>342</v>
      </c>
      <c r="X10" s="245" t="s">
        <v>326</v>
      </c>
    </row>
    <row r="11" spans="1:24" s="245" customFormat="1" x14ac:dyDescent="0.2">
      <c r="A11" s="314"/>
      <c r="B11" s="314"/>
      <c r="C11" s="315"/>
      <c r="D11" s="315"/>
      <c r="E11" s="304"/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16"/>
      <c r="S11" s="304"/>
    </row>
    <row r="12" spans="1:24" s="245" customFormat="1" x14ac:dyDescent="0.2">
      <c r="A12" s="310" t="s">
        <v>2</v>
      </c>
      <c r="B12" s="310"/>
      <c r="C12" s="317">
        <f>E12/$B$6</f>
        <v>31416.666666666668</v>
      </c>
      <c r="D12" s="317">
        <f>E12/$B$7</f>
        <v>41.364933070002181</v>
      </c>
      <c r="E12" s="318">
        <v>188500</v>
      </c>
      <c r="F12" s="319">
        <f>+E12</f>
        <v>188500</v>
      </c>
      <c r="G12" s="310"/>
      <c r="H12" s="310" t="s">
        <v>371</v>
      </c>
      <c r="I12" s="310" t="s">
        <v>203</v>
      </c>
      <c r="J12" s="310"/>
      <c r="K12" s="310" t="s">
        <v>290</v>
      </c>
      <c r="L12" s="310"/>
      <c r="M12" s="310"/>
      <c r="N12" s="310"/>
      <c r="O12" s="310"/>
      <c r="P12" s="310"/>
      <c r="Q12" s="320">
        <f>+E12</f>
        <v>188500</v>
      </c>
      <c r="R12" s="321">
        <f>+E12</f>
        <v>188500</v>
      </c>
      <c r="S12" s="322" t="s">
        <v>377</v>
      </c>
      <c r="X12" s="151">
        <f>+E12</f>
        <v>188500</v>
      </c>
    </row>
    <row r="13" spans="1:24" s="245" customFormat="1" x14ac:dyDescent="0.2">
      <c r="A13" s="310"/>
      <c r="B13" s="310"/>
      <c r="C13" s="323"/>
      <c r="D13" s="318"/>
      <c r="E13" s="318"/>
      <c r="F13" s="310"/>
      <c r="G13" s="310"/>
      <c r="H13" s="310"/>
      <c r="I13" s="310"/>
      <c r="J13" s="310"/>
      <c r="K13" s="310"/>
      <c r="L13" s="310"/>
      <c r="M13" s="310"/>
      <c r="N13" s="310"/>
      <c r="O13" s="310"/>
      <c r="P13" s="310"/>
      <c r="Q13" s="310"/>
      <c r="R13" s="321"/>
      <c r="S13" s="308"/>
      <c r="X13" s="238"/>
    </row>
    <row r="14" spans="1:24" x14ac:dyDescent="0.2">
      <c r="A14" s="310" t="s">
        <v>191</v>
      </c>
      <c r="B14" s="310"/>
      <c r="C14" s="318"/>
      <c r="D14" s="318"/>
      <c r="E14" s="323"/>
      <c r="F14" s="324"/>
      <c r="G14" s="324"/>
      <c r="H14" s="324"/>
      <c r="I14" s="324"/>
      <c r="J14" s="324"/>
      <c r="K14" s="324"/>
      <c r="L14" s="324"/>
      <c r="M14" s="324"/>
      <c r="N14" s="324"/>
      <c r="O14" s="324"/>
      <c r="P14" s="324"/>
      <c r="Q14" s="324"/>
      <c r="R14" s="325"/>
      <c r="S14" s="322"/>
    </row>
    <row r="15" spans="1:24" ht="22.5" x14ac:dyDescent="0.2">
      <c r="A15" s="322" t="s">
        <v>327</v>
      </c>
      <c r="B15" s="326"/>
      <c r="C15" s="317">
        <v>144772.72727272726</v>
      </c>
      <c r="D15" s="317">
        <f>E15/B7</f>
        <v>190.61583577712599</v>
      </c>
      <c r="E15" s="318">
        <f>C15*B6</f>
        <v>868636.36363636353</v>
      </c>
      <c r="F15" s="327"/>
      <c r="G15" s="327"/>
      <c r="H15" s="327"/>
      <c r="I15" s="324"/>
      <c r="J15" s="324"/>
      <c r="K15" s="324"/>
      <c r="L15" s="324"/>
      <c r="M15" s="324"/>
      <c r="N15" s="324"/>
      <c r="O15" s="324"/>
      <c r="P15" s="324"/>
      <c r="Q15" s="324"/>
      <c r="R15" s="325"/>
      <c r="S15" s="322" t="s">
        <v>378</v>
      </c>
    </row>
    <row r="16" spans="1:24" x14ac:dyDescent="0.2">
      <c r="A16" s="322" t="s">
        <v>193</v>
      </c>
      <c r="B16" s="328"/>
      <c r="C16" s="328">
        <v>4500</v>
      </c>
      <c r="D16" s="328">
        <f t="shared" ref="D16:D23" si="0">E16/$B$7</f>
        <v>5.9249506254114523</v>
      </c>
      <c r="E16" s="323">
        <f>C16*B6</f>
        <v>27000</v>
      </c>
      <c r="F16" s="327"/>
      <c r="G16" s="327"/>
      <c r="H16" s="327"/>
      <c r="I16" s="327">
        <v>0</v>
      </c>
      <c r="J16" s="324"/>
      <c r="K16" s="324"/>
      <c r="L16" s="324"/>
      <c r="M16" s="324"/>
      <c r="N16" s="324"/>
      <c r="O16" s="324"/>
      <c r="P16" s="324"/>
      <c r="Q16" s="324"/>
      <c r="R16" s="325"/>
      <c r="S16" s="322" t="s">
        <v>379</v>
      </c>
    </row>
    <row r="17" spans="1:24" x14ac:dyDescent="0.2">
      <c r="A17" s="322" t="s">
        <v>294</v>
      </c>
      <c r="B17" s="328"/>
      <c r="C17" s="328">
        <f t="shared" ref="C17:C23" si="1">E17/$B$6</f>
        <v>3333.3333333333335</v>
      </c>
      <c r="D17" s="328">
        <f t="shared" si="0"/>
        <v>4.3888523151195944</v>
      </c>
      <c r="E17" s="323">
        <v>20000</v>
      </c>
      <c r="F17" s="327"/>
      <c r="G17" s="327"/>
      <c r="H17" s="327" t="s">
        <v>237</v>
      </c>
      <c r="I17" s="327"/>
      <c r="J17" s="324"/>
      <c r="K17" s="324"/>
      <c r="L17" s="324"/>
      <c r="M17" s="324"/>
      <c r="N17" s="324"/>
      <c r="O17" s="324"/>
      <c r="P17" s="324"/>
      <c r="Q17" s="324"/>
      <c r="R17" s="325"/>
      <c r="S17" s="322" t="s">
        <v>379</v>
      </c>
    </row>
    <row r="18" spans="1:24" ht="22.5" x14ac:dyDescent="0.2">
      <c r="A18" s="322" t="s">
        <v>402</v>
      </c>
      <c r="B18" s="329"/>
      <c r="C18" s="328">
        <f t="shared" si="1"/>
        <v>4166.666666666667</v>
      </c>
      <c r="D18" s="328">
        <f t="shared" si="0"/>
        <v>5.4860653938994934</v>
      </c>
      <c r="E18" s="323">
        <v>25000</v>
      </c>
      <c r="F18" s="327"/>
      <c r="G18" s="327"/>
      <c r="H18" s="327" t="s">
        <v>226</v>
      </c>
      <c r="I18" s="327">
        <v>26000</v>
      </c>
      <c r="J18" s="324"/>
      <c r="K18" s="324"/>
      <c r="L18" s="324"/>
      <c r="M18" s="324"/>
      <c r="N18" s="324"/>
      <c r="O18" s="324"/>
      <c r="P18" s="324"/>
      <c r="Q18" s="324"/>
      <c r="R18" s="325"/>
      <c r="S18" s="322" t="s">
        <v>380</v>
      </c>
    </row>
    <row r="19" spans="1:24" s="245" customFormat="1" x14ac:dyDescent="0.2">
      <c r="A19" s="308" t="s">
        <v>15</v>
      </c>
      <c r="B19" s="330"/>
      <c r="C19" s="317">
        <f t="shared" si="1"/>
        <v>156772.72727272726</v>
      </c>
      <c r="D19" s="317">
        <f t="shared" si="0"/>
        <v>206.41570411155655</v>
      </c>
      <c r="E19" s="318">
        <f>SUM(E15:E18)</f>
        <v>940636.36363636353</v>
      </c>
      <c r="F19" s="317"/>
      <c r="G19" s="317"/>
      <c r="H19" s="317"/>
      <c r="I19" s="317">
        <f>SUM(I13:I18)</f>
        <v>26000</v>
      </c>
      <c r="J19" s="310"/>
      <c r="K19" s="310"/>
      <c r="L19" s="310"/>
      <c r="M19" s="310"/>
      <c r="N19" s="310"/>
      <c r="O19" s="310"/>
      <c r="P19" s="310"/>
      <c r="Q19" s="310"/>
      <c r="R19" s="321"/>
      <c r="S19" s="308"/>
      <c r="X19" s="238"/>
    </row>
    <row r="20" spans="1:24" s="245" customFormat="1" x14ac:dyDescent="0.2">
      <c r="A20" s="322" t="s">
        <v>408</v>
      </c>
      <c r="B20" s="330"/>
      <c r="C20" s="328">
        <f t="shared" si="1"/>
        <v>1666.6666666666667</v>
      </c>
      <c r="D20" s="328">
        <f t="shared" si="0"/>
        <v>2.1944261575597972</v>
      </c>
      <c r="E20" s="323">
        <v>10000</v>
      </c>
      <c r="F20" s="317"/>
      <c r="G20" s="317"/>
      <c r="H20" s="317"/>
      <c r="I20" s="317"/>
      <c r="J20" s="310"/>
      <c r="K20" s="310"/>
      <c r="L20" s="310"/>
      <c r="M20" s="310"/>
      <c r="N20" s="310"/>
      <c r="O20" s="310"/>
      <c r="P20" s="310"/>
      <c r="Q20" s="310"/>
      <c r="R20" s="321"/>
      <c r="S20" s="322" t="s">
        <v>381</v>
      </c>
      <c r="X20" s="151">
        <f>+E20</f>
        <v>10000</v>
      </c>
    </row>
    <row r="21" spans="1:24" x14ac:dyDescent="0.2">
      <c r="A21" s="322" t="s">
        <v>86</v>
      </c>
      <c r="B21" s="330"/>
      <c r="C21" s="328">
        <f t="shared" si="1"/>
        <v>416.66666666666669</v>
      </c>
      <c r="D21" s="328">
        <f t="shared" si="0"/>
        <v>0.5486065393899493</v>
      </c>
      <c r="E21" s="323">
        <v>2500</v>
      </c>
      <c r="F21" s="317">
        <f>+E21</f>
        <v>2500</v>
      </c>
      <c r="G21" s="317"/>
      <c r="H21" s="317"/>
      <c r="I21" s="317"/>
      <c r="J21" s="324"/>
      <c r="K21" s="324"/>
      <c r="L21" s="324"/>
      <c r="M21" s="324"/>
      <c r="N21" s="324"/>
      <c r="O21" s="324"/>
      <c r="P21" s="324"/>
      <c r="Q21" s="324"/>
      <c r="R21" s="325"/>
      <c r="S21" s="322" t="s">
        <v>382</v>
      </c>
      <c r="X21" s="151">
        <f>+E21</f>
        <v>2500</v>
      </c>
    </row>
    <row r="22" spans="1:24" x14ac:dyDescent="0.2">
      <c r="A22" s="322" t="s">
        <v>4</v>
      </c>
      <c r="B22" s="331">
        <v>0.1</v>
      </c>
      <c r="C22" s="328">
        <f t="shared" si="1"/>
        <v>15677.272727272726</v>
      </c>
      <c r="D22" s="328">
        <f t="shared" si="0"/>
        <v>20.641570411155655</v>
      </c>
      <c r="E22" s="323">
        <f>B22*E19</f>
        <v>94063.636363636353</v>
      </c>
      <c r="F22" s="327"/>
      <c r="G22" s="327"/>
      <c r="H22" s="327"/>
      <c r="I22" s="324"/>
      <c r="J22" s="324"/>
      <c r="K22" s="324"/>
      <c r="L22" s="324"/>
      <c r="M22" s="324"/>
      <c r="N22" s="324"/>
      <c r="O22" s="324"/>
      <c r="P22" s="324"/>
      <c r="Q22" s="324"/>
      <c r="R22" s="325"/>
      <c r="S22" s="322" t="s">
        <v>383</v>
      </c>
    </row>
    <row r="23" spans="1:24" s="245" customFormat="1" x14ac:dyDescent="0.2">
      <c r="A23" s="308" t="s">
        <v>5</v>
      </c>
      <c r="B23" s="332"/>
      <c r="C23" s="317">
        <f t="shared" si="1"/>
        <v>174533.33333333331</v>
      </c>
      <c r="D23" s="317">
        <f t="shared" si="0"/>
        <v>229.80030721966193</v>
      </c>
      <c r="E23" s="318">
        <f>SUM(E19:E22)</f>
        <v>1047199.9999999999</v>
      </c>
      <c r="F23" s="317"/>
      <c r="G23" s="317"/>
      <c r="H23" s="317"/>
      <c r="I23" s="317">
        <f>I22+I19</f>
        <v>26000</v>
      </c>
      <c r="J23" s="310"/>
      <c r="K23" s="310"/>
      <c r="L23" s="310"/>
      <c r="M23" s="310"/>
      <c r="N23" s="310"/>
      <c r="O23" s="310"/>
      <c r="P23" s="310"/>
      <c r="Q23" s="310"/>
      <c r="R23" s="321"/>
      <c r="S23" s="308"/>
    </row>
    <row r="24" spans="1:24" s="245" customFormat="1" x14ac:dyDescent="0.2">
      <c r="A24" s="308"/>
      <c r="B24" s="333"/>
      <c r="C24" s="323"/>
      <c r="D24" s="318"/>
      <c r="E24" s="318"/>
      <c r="F24" s="310"/>
      <c r="G24" s="310"/>
      <c r="H24" s="310"/>
      <c r="I24" s="310"/>
      <c r="J24" s="310"/>
      <c r="K24" s="310"/>
      <c r="L24" s="310"/>
      <c r="M24" s="310"/>
      <c r="N24" s="310"/>
      <c r="O24" s="310"/>
      <c r="P24" s="310"/>
      <c r="Q24" s="310"/>
      <c r="R24" s="321"/>
      <c r="S24" s="308"/>
    </row>
    <row r="25" spans="1:24" s="245" customFormat="1" x14ac:dyDescent="0.2">
      <c r="A25" s="308" t="s">
        <v>10</v>
      </c>
      <c r="B25" s="310"/>
      <c r="C25" s="323"/>
      <c r="D25" s="323"/>
      <c r="E25" s="318"/>
      <c r="F25" s="310"/>
      <c r="G25" s="310"/>
      <c r="H25" s="310"/>
      <c r="I25" s="310"/>
      <c r="J25" s="310"/>
      <c r="K25" s="310"/>
      <c r="L25" s="310"/>
      <c r="M25" s="310"/>
      <c r="N25" s="310"/>
      <c r="O25" s="310"/>
      <c r="P25" s="310"/>
      <c r="Q25" s="310"/>
      <c r="R25" s="321"/>
      <c r="S25" s="308"/>
    </row>
    <row r="26" spans="1:24" ht="22.5" x14ac:dyDescent="0.2">
      <c r="A26" s="322" t="s">
        <v>295</v>
      </c>
      <c r="B26" s="324"/>
      <c r="C26" s="323">
        <f t="shared" ref="C26:C35" si="2">E26/$B$6</f>
        <v>1250</v>
      </c>
      <c r="D26" s="323">
        <f t="shared" ref="D26:D35" si="3">E26/$B$7</f>
        <v>1.6458196181698479</v>
      </c>
      <c r="E26" s="323">
        <f>2500+5000</f>
        <v>7500</v>
      </c>
      <c r="F26" s="327">
        <f>+E26</f>
        <v>7500</v>
      </c>
      <c r="G26" s="327"/>
      <c r="H26" s="327" t="s">
        <v>221</v>
      </c>
      <c r="I26" s="324"/>
      <c r="J26" s="324"/>
      <c r="K26" s="324"/>
      <c r="L26" s="324"/>
      <c r="M26" s="324"/>
      <c r="N26" s="324"/>
      <c r="O26" s="324"/>
      <c r="P26" s="324"/>
      <c r="Q26" s="319">
        <f>+E26</f>
        <v>7500</v>
      </c>
      <c r="R26" s="325">
        <f>+E26</f>
        <v>7500</v>
      </c>
      <c r="S26" s="322" t="s">
        <v>384</v>
      </c>
      <c r="X26" s="151">
        <f>+E26</f>
        <v>7500</v>
      </c>
    </row>
    <row r="27" spans="1:24" x14ac:dyDescent="0.2">
      <c r="A27" s="322" t="s">
        <v>7</v>
      </c>
      <c r="B27" s="334">
        <f>E27/E19</f>
        <v>4.7839953609741963E-2</v>
      </c>
      <c r="C27" s="323">
        <f t="shared" si="2"/>
        <v>7500</v>
      </c>
      <c r="D27" s="323">
        <f t="shared" si="3"/>
        <v>9.8749177090190869</v>
      </c>
      <c r="E27" s="323">
        <v>45000</v>
      </c>
      <c r="F27" s="327">
        <f>E27*0.35</f>
        <v>15749.999999999998</v>
      </c>
      <c r="G27" s="327"/>
      <c r="H27" s="327"/>
      <c r="I27" s="324"/>
      <c r="J27" s="324"/>
      <c r="K27" s="324"/>
      <c r="L27" s="324"/>
      <c r="M27" s="324"/>
      <c r="N27" s="324"/>
      <c r="O27" s="324"/>
      <c r="P27" s="324"/>
      <c r="Q27" s="319">
        <f>E27/2</f>
        <v>22500</v>
      </c>
      <c r="R27" s="325">
        <f>E27/2</f>
        <v>22500</v>
      </c>
      <c r="S27" s="322" t="s">
        <v>385</v>
      </c>
      <c r="X27" s="238">
        <f>+E27/2</f>
        <v>22500</v>
      </c>
    </row>
    <row r="28" spans="1:24" x14ac:dyDescent="0.2">
      <c r="A28" s="322" t="s">
        <v>65</v>
      </c>
      <c r="B28" s="325"/>
      <c r="C28" s="323">
        <f t="shared" si="2"/>
        <v>1333.3333333333333</v>
      </c>
      <c r="D28" s="323">
        <f t="shared" si="3"/>
        <v>1.7555409260478378</v>
      </c>
      <c r="E28" s="323">
        <v>8000</v>
      </c>
      <c r="F28" s="332"/>
      <c r="G28" s="332"/>
      <c r="H28" s="327" t="s">
        <v>227</v>
      </c>
      <c r="I28" s="324"/>
      <c r="J28" s="324"/>
      <c r="K28" s="324"/>
      <c r="L28" s="324"/>
      <c r="M28" s="324"/>
      <c r="N28" s="324"/>
      <c r="O28" s="324"/>
      <c r="P28" s="324"/>
      <c r="Q28" s="324"/>
      <c r="R28" s="325"/>
      <c r="S28" s="322" t="s">
        <v>350</v>
      </c>
    </row>
    <row r="29" spans="1:24" ht="45" x14ac:dyDescent="0.2">
      <c r="A29" s="322" t="s">
        <v>386</v>
      </c>
      <c r="B29" s="324"/>
      <c r="C29" s="323">
        <f t="shared" si="2"/>
        <v>3333.3333333333335</v>
      </c>
      <c r="D29" s="323">
        <f t="shared" si="3"/>
        <v>4.3888523151195944</v>
      </c>
      <c r="E29" s="323">
        <v>20000</v>
      </c>
      <c r="F29" s="327">
        <f>E29</f>
        <v>20000</v>
      </c>
      <c r="G29" s="327"/>
      <c r="H29" s="327"/>
      <c r="I29" s="324"/>
      <c r="J29" s="324"/>
      <c r="K29" s="324"/>
      <c r="L29" s="324"/>
      <c r="M29" s="324"/>
      <c r="N29" s="324"/>
      <c r="O29" s="324"/>
      <c r="P29" s="324"/>
      <c r="Q29" s="327">
        <f>E29*0.75</f>
        <v>15000</v>
      </c>
      <c r="R29" s="325">
        <f>E29</f>
        <v>20000</v>
      </c>
      <c r="S29" s="322" t="s">
        <v>387</v>
      </c>
      <c r="X29" s="251">
        <f>E29*0.75</f>
        <v>15000</v>
      </c>
    </row>
    <row r="30" spans="1:24" x14ac:dyDescent="0.2">
      <c r="A30" s="322" t="s">
        <v>8</v>
      </c>
      <c r="B30" s="324"/>
      <c r="C30" s="323">
        <f t="shared" si="2"/>
        <v>583.33333333333337</v>
      </c>
      <c r="D30" s="323">
        <f t="shared" si="3"/>
        <v>0.76804915514592909</v>
      </c>
      <c r="E30" s="323">
        <v>3500</v>
      </c>
      <c r="F30" s="327">
        <f>+E30</f>
        <v>3500</v>
      </c>
      <c r="G30" s="327"/>
      <c r="H30" s="327"/>
      <c r="I30" s="324"/>
      <c r="J30" s="324"/>
      <c r="K30" s="324"/>
      <c r="L30" s="324"/>
      <c r="M30" s="324"/>
      <c r="N30" s="324"/>
      <c r="O30" s="324"/>
      <c r="P30" s="324"/>
      <c r="Q30" s="319">
        <f>+E30</f>
        <v>3500</v>
      </c>
      <c r="R30" s="325">
        <f>+E30</f>
        <v>3500</v>
      </c>
      <c r="S30" s="322" t="s">
        <v>388</v>
      </c>
      <c r="X30" s="151">
        <f>+E30</f>
        <v>3500</v>
      </c>
    </row>
    <row r="31" spans="1:24" x14ac:dyDescent="0.2">
      <c r="A31" s="322" t="s">
        <v>236</v>
      </c>
      <c r="B31" s="324"/>
      <c r="C31" s="323">
        <f t="shared" si="2"/>
        <v>750</v>
      </c>
      <c r="D31" s="323">
        <f t="shared" si="3"/>
        <v>0.98749177090190876</v>
      </c>
      <c r="E31" s="323">
        <v>4500</v>
      </c>
      <c r="F31" s="327">
        <f>+E31</f>
        <v>4500</v>
      </c>
      <c r="G31" s="327"/>
      <c r="H31" s="327"/>
      <c r="I31" s="324"/>
      <c r="J31" s="324"/>
      <c r="K31" s="324"/>
      <c r="L31" s="324"/>
      <c r="M31" s="324"/>
      <c r="N31" s="324"/>
      <c r="O31" s="324"/>
      <c r="P31" s="324"/>
      <c r="Q31" s="319">
        <f>+E31</f>
        <v>4500</v>
      </c>
      <c r="R31" s="325">
        <f>+E31</f>
        <v>4500</v>
      </c>
      <c r="S31" s="322" t="s">
        <v>389</v>
      </c>
      <c r="X31" s="151">
        <f>+E31</f>
        <v>4500</v>
      </c>
    </row>
    <row r="32" spans="1:24" x14ac:dyDescent="0.2">
      <c r="A32" s="322" t="s">
        <v>239</v>
      </c>
      <c r="B32" s="324"/>
      <c r="C32" s="323">
        <f t="shared" si="2"/>
        <v>0</v>
      </c>
      <c r="D32" s="323">
        <f t="shared" si="3"/>
        <v>0</v>
      </c>
      <c r="E32" s="323"/>
      <c r="F32" s="327">
        <f>+E32</f>
        <v>0</v>
      </c>
      <c r="G32" s="327"/>
      <c r="H32" s="327" t="s">
        <v>228</v>
      </c>
      <c r="I32" s="324"/>
      <c r="J32" s="324"/>
      <c r="K32" s="324"/>
      <c r="L32" s="324"/>
      <c r="M32" s="324"/>
      <c r="N32" s="324"/>
      <c r="O32" s="324"/>
      <c r="P32" s="324"/>
      <c r="Q32" s="319">
        <f>+E32</f>
        <v>0</v>
      </c>
      <c r="R32" s="325">
        <f>+E32</f>
        <v>0</v>
      </c>
      <c r="S32" s="322"/>
    </row>
    <row r="33" spans="1:24" x14ac:dyDescent="0.2">
      <c r="A33" s="322" t="s">
        <v>9</v>
      </c>
      <c r="B33" s="324"/>
      <c r="C33" s="323">
        <f t="shared" si="2"/>
        <v>1083.3333333333333</v>
      </c>
      <c r="D33" s="323">
        <f t="shared" si="3"/>
        <v>1.4263770024138682</v>
      </c>
      <c r="E33" s="323">
        <v>6500</v>
      </c>
      <c r="F33" s="327"/>
      <c r="G33" s="327"/>
      <c r="H33" s="327"/>
      <c r="I33" s="324"/>
      <c r="J33" s="324"/>
      <c r="K33" s="324"/>
      <c r="L33" s="324"/>
      <c r="M33" s="324"/>
      <c r="N33" s="324"/>
      <c r="O33" s="324"/>
      <c r="P33" s="324"/>
      <c r="Q33" s="324"/>
      <c r="R33" s="325"/>
      <c r="S33" s="322" t="s">
        <v>389</v>
      </c>
    </row>
    <row r="34" spans="1:24" x14ac:dyDescent="0.2">
      <c r="A34" s="322" t="s">
        <v>95</v>
      </c>
      <c r="B34" s="329">
        <v>0.05</v>
      </c>
      <c r="C34" s="323">
        <f t="shared" si="2"/>
        <v>1583.3333333333333</v>
      </c>
      <c r="D34" s="323">
        <f t="shared" si="3"/>
        <v>2.0847048496818075</v>
      </c>
      <c r="E34" s="323">
        <v>9500</v>
      </c>
      <c r="F34" s="327">
        <f>+E34</f>
        <v>9500</v>
      </c>
      <c r="G34" s="327"/>
      <c r="H34" s="327"/>
      <c r="I34" s="324"/>
      <c r="J34" s="324"/>
      <c r="K34" s="324"/>
      <c r="L34" s="324"/>
      <c r="M34" s="324"/>
      <c r="N34" s="324"/>
      <c r="O34" s="324"/>
      <c r="P34" s="324"/>
      <c r="Q34" s="319">
        <f>+E34</f>
        <v>9500</v>
      </c>
      <c r="R34" s="325">
        <f>+E34</f>
        <v>9500</v>
      </c>
      <c r="S34" s="322" t="s">
        <v>356</v>
      </c>
      <c r="X34" s="151">
        <f>+E34</f>
        <v>9500</v>
      </c>
    </row>
    <row r="35" spans="1:24" s="245" customFormat="1" x14ac:dyDescent="0.2">
      <c r="A35" s="308" t="s">
        <v>14</v>
      </c>
      <c r="B35" s="310"/>
      <c r="C35" s="323">
        <f t="shared" si="2"/>
        <v>17416.666666666668</v>
      </c>
      <c r="D35" s="323">
        <f t="shared" si="3"/>
        <v>22.931753346499882</v>
      </c>
      <c r="E35" s="318">
        <f>SUM(E26:E34)</f>
        <v>104500</v>
      </c>
      <c r="F35" s="317"/>
      <c r="G35" s="317"/>
      <c r="H35" s="317"/>
      <c r="I35" s="317">
        <f>SUM(I26:I34)</f>
        <v>0</v>
      </c>
      <c r="J35" s="332" t="e">
        <f>#REF!-#REF!</f>
        <v>#REF!</v>
      </c>
      <c r="K35" s="332"/>
      <c r="L35" s="332"/>
      <c r="M35" s="332"/>
      <c r="N35" s="310"/>
      <c r="O35" s="310"/>
      <c r="P35" s="310"/>
      <c r="Q35" s="310"/>
      <c r="R35" s="321"/>
      <c r="S35" s="308"/>
    </row>
    <row r="36" spans="1:24" x14ac:dyDescent="0.2">
      <c r="A36" s="322"/>
      <c r="B36" s="324"/>
      <c r="C36" s="323"/>
      <c r="D36" s="323"/>
      <c r="E36" s="323"/>
      <c r="F36" s="324"/>
      <c r="G36" s="324"/>
      <c r="H36" s="324"/>
      <c r="I36" s="324"/>
      <c r="J36" s="324"/>
      <c r="K36" s="324"/>
      <c r="L36" s="324"/>
      <c r="M36" s="324"/>
      <c r="N36" s="324"/>
      <c r="O36" s="324"/>
      <c r="P36" s="324"/>
      <c r="Q36" s="324"/>
      <c r="R36" s="325"/>
      <c r="S36" s="322"/>
    </row>
    <row r="37" spans="1:24" s="245" customFormat="1" x14ac:dyDescent="0.2">
      <c r="A37" s="308" t="s">
        <v>11</v>
      </c>
      <c r="B37" s="310"/>
      <c r="C37" s="323"/>
      <c r="D37" s="323"/>
      <c r="E37" s="318"/>
      <c r="F37" s="332"/>
      <c r="G37" s="332"/>
      <c r="H37" s="332"/>
      <c r="I37" s="310"/>
      <c r="J37" s="310"/>
      <c r="K37" s="310"/>
      <c r="L37" s="310"/>
      <c r="M37" s="310"/>
      <c r="N37" s="310"/>
      <c r="O37" s="310"/>
      <c r="P37" s="310"/>
      <c r="Q37" s="310"/>
      <c r="R37" s="321"/>
      <c r="S37" s="308"/>
    </row>
    <row r="38" spans="1:24" s="245" customFormat="1" x14ac:dyDescent="0.2">
      <c r="A38" s="322" t="s">
        <v>249</v>
      </c>
      <c r="B38" s="310"/>
      <c r="C38" s="323">
        <f t="shared" ref="C38:C55" si="4">E38/$B$6</f>
        <v>3333.3333333333335</v>
      </c>
      <c r="D38" s="323">
        <f t="shared" ref="D38:D55" si="5">E38/$B$7</f>
        <v>4.3888523151195944</v>
      </c>
      <c r="E38" s="323">
        <v>20000</v>
      </c>
      <c r="F38" s="332"/>
      <c r="G38" s="332"/>
      <c r="H38" s="332"/>
      <c r="I38" s="310"/>
      <c r="J38" s="310"/>
      <c r="K38" s="310"/>
      <c r="L38" s="310"/>
      <c r="M38" s="310"/>
      <c r="N38" s="310"/>
      <c r="O38" s="310"/>
      <c r="P38" s="310"/>
      <c r="Q38" s="310"/>
      <c r="R38" s="321"/>
      <c r="S38" s="322" t="s">
        <v>390</v>
      </c>
    </row>
    <row r="39" spans="1:24" s="245" customFormat="1" ht="22.5" x14ac:dyDescent="0.2">
      <c r="A39" s="322" t="s">
        <v>248</v>
      </c>
      <c r="B39" s="310"/>
      <c r="C39" s="323">
        <f t="shared" si="4"/>
        <v>5000</v>
      </c>
      <c r="D39" s="323">
        <f t="shared" si="5"/>
        <v>6.5832784726793916</v>
      </c>
      <c r="E39" s="323">
        <v>30000</v>
      </c>
      <c r="F39" s="332"/>
      <c r="G39" s="332"/>
      <c r="H39" s="332"/>
      <c r="I39" s="310"/>
      <c r="J39" s="310"/>
      <c r="K39" s="310"/>
      <c r="L39" s="310"/>
      <c r="M39" s="310"/>
      <c r="N39" s="310"/>
      <c r="O39" s="310"/>
      <c r="P39" s="310"/>
      <c r="Q39" s="320">
        <f>+E39</f>
        <v>30000</v>
      </c>
      <c r="R39" s="321">
        <f>+E39</f>
        <v>30000</v>
      </c>
      <c r="S39" s="322" t="s">
        <v>391</v>
      </c>
      <c r="X39" s="154"/>
    </row>
    <row r="40" spans="1:24" s="245" customFormat="1" x14ac:dyDescent="0.2">
      <c r="A40" s="322" t="s">
        <v>250</v>
      </c>
      <c r="B40" s="310"/>
      <c r="C40" s="323">
        <f t="shared" si="4"/>
        <v>833.33333333333337</v>
      </c>
      <c r="D40" s="323">
        <f t="shared" si="5"/>
        <v>1.0972130787798986</v>
      </c>
      <c r="E40" s="323">
        <v>5000</v>
      </c>
      <c r="F40" s="327">
        <f>+E40</f>
        <v>5000</v>
      </c>
      <c r="G40" s="332"/>
      <c r="H40" s="332"/>
      <c r="I40" s="310"/>
      <c r="J40" s="310"/>
      <c r="K40" s="310"/>
      <c r="L40" s="310"/>
      <c r="M40" s="310"/>
      <c r="N40" s="310"/>
      <c r="O40" s="310"/>
      <c r="P40" s="310"/>
      <c r="Q40" s="320">
        <f>+E40</f>
        <v>5000</v>
      </c>
      <c r="R40" s="321">
        <f>+E40</f>
        <v>5000</v>
      </c>
      <c r="S40" s="322" t="s">
        <v>392</v>
      </c>
      <c r="X40" s="151">
        <f>+E40</f>
        <v>5000</v>
      </c>
    </row>
    <row r="41" spans="1:24" s="245" customFormat="1" x14ac:dyDescent="0.2">
      <c r="A41" s="322" t="s">
        <v>374</v>
      </c>
      <c r="B41" s="324"/>
      <c r="C41" s="323">
        <f t="shared" si="4"/>
        <v>416.66666666666669</v>
      </c>
      <c r="D41" s="323">
        <f t="shared" si="5"/>
        <v>0.5486065393899493</v>
      </c>
      <c r="E41" s="323">
        <v>2500</v>
      </c>
      <c r="F41" s="325">
        <f>+E41</f>
        <v>2500</v>
      </c>
      <c r="G41" s="324"/>
      <c r="H41" s="324" t="s">
        <v>222</v>
      </c>
      <c r="I41" s="310"/>
      <c r="J41" s="310"/>
      <c r="K41" s="310"/>
      <c r="L41" s="310"/>
      <c r="M41" s="310"/>
      <c r="N41" s="310"/>
      <c r="O41" s="310"/>
      <c r="P41" s="310"/>
      <c r="Q41" s="320">
        <f>+E41</f>
        <v>2500</v>
      </c>
      <c r="R41" s="321">
        <f>+E41</f>
        <v>2500</v>
      </c>
      <c r="S41" s="322" t="s">
        <v>393</v>
      </c>
      <c r="X41" s="151">
        <f>+E41</f>
        <v>2500</v>
      </c>
    </row>
    <row r="42" spans="1:24" s="245" customFormat="1" x14ac:dyDescent="0.2">
      <c r="A42" s="322" t="s">
        <v>64</v>
      </c>
      <c r="B42" s="324"/>
      <c r="C42" s="323">
        <f t="shared" si="4"/>
        <v>416.66666666666669</v>
      </c>
      <c r="D42" s="323">
        <f t="shared" si="5"/>
        <v>0.5486065393899493</v>
      </c>
      <c r="E42" s="323">
        <v>2500</v>
      </c>
      <c r="F42" s="310"/>
      <c r="G42" s="310"/>
      <c r="H42" s="310" t="s">
        <v>224</v>
      </c>
      <c r="I42" s="310"/>
      <c r="J42" s="310"/>
      <c r="K42" s="310"/>
      <c r="L42" s="310"/>
      <c r="M42" s="310"/>
      <c r="N42" s="310"/>
      <c r="O42" s="310"/>
      <c r="P42" s="310"/>
      <c r="Q42" s="310"/>
      <c r="R42" s="321"/>
      <c r="S42" s="322" t="s">
        <v>394</v>
      </c>
      <c r="X42" s="238"/>
    </row>
    <row r="43" spans="1:24" x14ac:dyDescent="0.2">
      <c r="A43" s="322" t="s">
        <v>173</v>
      </c>
      <c r="B43" s="324"/>
      <c r="C43" s="323">
        <f t="shared" si="4"/>
        <v>2500</v>
      </c>
      <c r="D43" s="323">
        <f t="shared" si="5"/>
        <v>3.2916392363396958</v>
      </c>
      <c r="E43" s="323">
        <v>15000</v>
      </c>
      <c r="F43" s="327"/>
      <c r="G43" s="327"/>
      <c r="H43" s="332" t="s">
        <v>223</v>
      </c>
      <c r="I43" s="324"/>
      <c r="J43" s="324"/>
      <c r="K43" s="324"/>
      <c r="L43" s="324"/>
      <c r="M43" s="324"/>
      <c r="N43" s="324"/>
      <c r="O43" s="324"/>
      <c r="P43" s="324"/>
      <c r="Q43" s="324"/>
      <c r="R43" s="325"/>
      <c r="S43" s="322" t="s">
        <v>395</v>
      </c>
    </row>
    <row r="44" spans="1:24" x14ac:dyDescent="0.2">
      <c r="A44" s="322" t="s">
        <v>77</v>
      </c>
      <c r="B44" s="324"/>
      <c r="C44" s="323">
        <f t="shared" si="4"/>
        <v>1666.6666666666667</v>
      </c>
      <c r="D44" s="323">
        <f t="shared" si="5"/>
        <v>2.1944261575597972</v>
      </c>
      <c r="E44" s="323">
        <v>10000</v>
      </c>
      <c r="F44" s="324"/>
      <c r="G44" s="324"/>
      <c r="H44" s="324" t="s">
        <v>235</v>
      </c>
      <c r="I44" s="324"/>
      <c r="J44" s="324"/>
      <c r="K44" s="324"/>
      <c r="L44" s="324"/>
      <c r="M44" s="324"/>
      <c r="N44" s="324"/>
      <c r="O44" s="324"/>
      <c r="P44" s="324"/>
      <c r="Q44" s="324"/>
      <c r="R44" s="325"/>
      <c r="S44" s="322" t="s">
        <v>396</v>
      </c>
    </row>
    <row r="45" spans="1:24" x14ac:dyDescent="0.2">
      <c r="A45" s="322" t="s">
        <v>53</v>
      </c>
      <c r="B45" s="324"/>
      <c r="C45" s="323">
        <f t="shared" si="4"/>
        <v>583.33333333333337</v>
      </c>
      <c r="D45" s="323">
        <f t="shared" si="5"/>
        <v>0.76804915514592909</v>
      </c>
      <c r="E45" s="323">
        <v>3500</v>
      </c>
      <c r="F45" s="327"/>
      <c r="G45" s="327"/>
      <c r="H45" s="327"/>
      <c r="I45" s="324"/>
      <c r="J45" s="324"/>
      <c r="K45" s="324"/>
      <c r="L45" s="324"/>
      <c r="M45" s="324"/>
      <c r="N45" s="324"/>
      <c r="O45" s="324"/>
      <c r="P45" s="324"/>
      <c r="Q45" s="324"/>
      <c r="R45" s="325"/>
      <c r="S45" s="322" t="s">
        <v>397</v>
      </c>
    </row>
    <row r="46" spans="1:24" x14ac:dyDescent="0.2">
      <c r="A46" s="322" t="s">
        <v>172</v>
      </c>
      <c r="B46" s="324"/>
      <c r="C46" s="323">
        <f t="shared" si="4"/>
        <v>3333.3333333333335</v>
      </c>
      <c r="D46" s="323">
        <f t="shared" si="5"/>
        <v>4.3888523151195944</v>
      </c>
      <c r="E46" s="323">
        <v>20000</v>
      </c>
      <c r="F46" s="327"/>
      <c r="G46" s="327"/>
      <c r="H46" s="327"/>
      <c r="I46" s="324"/>
      <c r="J46" s="324"/>
      <c r="K46" s="324"/>
      <c r="L46" s="324"/>
      <c r="M46" s="324"/>
      <c r="N46" s="324"/>
      <c r="O46" s="324"/>
      <c r="P46" s="324"/>
      <c r="Q46" s="324"/>
      <c r="R46" s="325"/>
      <c r="S46" s="322" t="s">
        <v>398</v>
      </c>
    </row>
    <row r="47" spans="1:24" x14ac:dyDescent="0.2">
      <c r="A47" s="322" t="s">
        <v>12</v>
      </c>
      <c r="B47" s="324"/>
      <c r="C47" s="323">
        <f t="shared" si="4"/>
        <v>1333.3333333333333</v>
      </c>
      <c r="D47" s="323">
        <f t="shared" si="5"/>
        <v>1.7555409260478378</v>
      </c>
      <c r="E47" s="323">
        <v>8000</v>
      </c>
      <c r="F47" s="327">
        <f>+E47</f>
        <v>8000</v>
      </c>
      <c r="G47" s="327"/>
      <c r="H47" s="327"/>
      <c r="I47" s="324"/>
      <c r="J47" s="324"/>
      <c r="K47" s="324"/>
      <c r="L47" s="324"/>
      <c r="M47" s="324"/>
      <c r="N47" s="324"/>
      <c r="O47" s="324"/>
      <c r="P47" s="324"/>
      <c r="Q47" s="324"/>
      <c r="R47" s="325">
        <f>+E47</f>
        <v>8000</v>
      </c>
      <c r="S47" s="322" t="s">
        <v>399</v>
      </c>
      <c r="X47" s="151">
        <f>+E47</f>
        <v>8000</v>
      </c>
    </row>
    <row r="48" spans="1:24" s="245" customFormat="1" hidden="1" x14ac:dyDescent="0.2">
      <c r="A48" s="322" t="s">
        <v>176</v>
      </c>
      <c r="B48" s="324"/>
      <c r="C48" s="323">
        <f t="shared" si="4"/>
        <v>0</v>
      </c>
      <c r="D48" s="323">
        <f t="shared" si="5"/>
        <v>0</v>
      </c>
      <c r="E48" s="318"/>
      <c r="F48" s="310"/>
      <c r="G48" s="310"/>
      <c r="H48" s="310"/>
      <c r="I48" s="310"/>
      <c r="J48" s="310"/>
      <c r="K48" s="310"/>
      <c r="L48" s="310"/>
      <c r="M48" s="310"/>
      <c r="N48" s="310"/>
      <c r="O48" s="310"/>
      <c r="P48" s="310"/>
      <c r="Q48" s="310"/>
      <c r="R48" s="321"/>
      <c r="S48" s="322"/>
      <c r="X48" s="238"/>
    </row>
    <row r="49" spans="1:25" s="245" customFormat="1" hidden="1" x14ac:dyDescent="0.2">
      <c r="A49" s="322" t="s">
        <v>175</v>
      </c>
      <c r="B49" s="331"/>
      <c r="C49" s="323">
        <f t="shared" si="4"/>
        <v>0</v>
      </c>
      <c r="D49" s="323">
        <f t="shared" si="5"/>
        <v>0</v>
      </c>
      <c r="E49" s="318"/>
      <c r="F49" s="310"/>
      <c r="G49" s="310"/>
      <c r="H49" s="310"/>
      <c r="I49" s="310"/>
      <c r="J49" s="310"/>
      <c r="K49" s="310"/>
      <c r="L49" s="310"/>
      <c r="M49" s="310"/>
      <c r="N49" s="310"/>
      <c r="O49" s="310"/>
      <c r="P49" s="310"/>
      <c r="Q49" s="310"/>
      <c r="R49" s="321"/>
      <c r="S49" s="322"/>
      <c r="X49" s="238"/>
    </row>
    <row r="50" spans="1:25" s="245" customFormat="1" hidden="1" x14ac:dyDescent="0.2">
      <c r="A50" s="322" t="s">
        <v>177</v>
      </c>
      <c r="B50" s="324"/>
      <c r="C50" s="323">
        <f t="shared" si="4"/>
        <v>0</v>
      </c>
      <c r="D50" s="323">
        <f t="shared" si="5"/>
        <v>0</v>
      </c>
      <c r="E50" s="318"/>
      <c r="F50" s="310"/>
      <c r="G50" s="310"/>
      <c r="H50" s="310"/>
      <c r="I50" s="310"/>
      <c r="J50" s="310"/>
      <c r="K50" s="310"/>
      <c r="L50" s="310"/>
      <c r="M50" s="310"/>
      <c r="N50" s="310"/>
      <c r="O50" s="310"/>
      <c r="P50" s="310"/>
      <c r="Q50" s="310"/>
      <c r="R50" s="321"/>
      <c r="S50" s="322"/>
      <c r="X50" s="238"/>
    </row>
    <row r="51" spans="1:25" s="245" customFormat="1" x14ac:dyDescent="0.2">
      <c r="A51" s="322" t="s">
        <v>229</v>
      </c>
      <c r="B51" s="331"/>
      <c r="C51" s="323">
        <f t="shared" si="4"/>
        <v>833.33333333333337</v>
      </c>
      <c r="D51" s="323">
        <f t="shared" si="5"/>
        <v>1.0972130787798986</v>
      </c>
      <c r="E51" s="323">
        <v>5000</v>
      </c>
      <c r="F51" s="327">
        <f>+E51</f>
        <v>5000</v>
      </c>
      <c r="G51" s="332"/>
      <c r="H51" s="332"/>
      <c r="I51" s="310"/>
      <c r="J51" s="310"/>
      <c r="K51" s="310"/>
      <c r="L51" s="310"/>
      <c r="M51" s="310"/>
      <c r="N51" s="310"/>
      <c r="O51" s="310"/>
      <c r="P51" s="310"/>
      <c r="Q51" s="310"/>
      <c r="R51" s="321"/>
      <c r="S51" s="322" t="s">
        <v>400</v>
      </c>
      <c r="X51" s="151">
        <f>+E51</f>
        <v>5000</v>
      </c>
    </row>
    <row r="52" spans="1:25" s="245" customFormat="1" ht="22.5" x14ac:dyDescent="0.2">
      <c r="A52" s="322" t="s">
        <v>225</v>
      </c>
      <c r="B52" s="325"/>
      <c r="C52" s="323">
        <f t="shared" si="4"/>
        <v>833.33333333333337</v>
      </c>
      <c r="D52" s="323">
        <f t="shared" si="5"/>
        <v>1.0972130787798986</v>
      </c>
      <c r="E52" s="323">
        <v>5000</v>
      </c>
      <c r="F52" s="327">
        <f>+E52</f>
        <v>5000</v>
      </c>
      <c r="G52" s="332"/>
      <c r="H52" s="332"/>
      <c r="I52" s="310"/>
      <c r="J52" s="310"/>
      <c r="K52" s="310"/>
      <c r="L52" s="310"/>
      <c r="M52" s="310"/>
      <c r="N52" s="310"/>
      <c r="O52" s="310"/>
      <c r="P52" s="310"/>
      <c r="Q52" s="310"/>
      <c r="R52" s="321"/>
      <c r="S52" s="322" t="s">
        <v>400</v>
      </c>
      <c r="X52" s="151">
        <f>+E52</f>
        <v>5000</v>
      </c>
    </row>
    <row r="53" spans="1:25" s="245" customFormat="1" x14ac:dyDescent="0.2">
      <c r="A53" s="308" t="s">
        <v>13</v>
      </c>
      <c r="B53" s="320"/>
      <c r="C53" s="323">
        <f t="shared" si="4"/>
        <v>21083.333333333332</v>
      </c>
      <c r="D53" s="323">
        <f t="shared" si="5"/>
        <v>27.759490893131435</v>
      </c>
      <c r="E53" s="318">
        <f>SUM(E38:E52)</f>
        <v>126500</v>
      </c>
      <c r="F53" s="317"/>
      <c r="G53" s="317"/>
      <c r="H53" s="317"/>
      <c r="I53" s="317">
        <f>SUM(I42:I52)</f>
        <v>0</v>
      </c>
      <c r="J53" s="332" t="e">
        <f>#REF!-#REF!</f>
        <v>#REF!</v>
      </c>
      <c r="K53" s="332"/>
      <c r="L53" s="332"/>
      <c r="M53" s="332"/>
      <c r="N53" s="310"/>
      <c r="O53" s="310"/>
      <c r="P53" s="310"/>
      <c r="Q53" s="310">
        <f>SUM(Q10:Q52)</f>
        <v>288500</v>
      </c>
      <c r="R53" s="321">
        <f>SUM(R11:R52)</f>
        <v>301500</v>
      </c>
      <c r="S53" s="308"/>
      <c r="X53" s="154">
        <f>SUM(X12:X52)</f>
        <v>289000</v>
      </c>
      <c r="Y53" s="261">
        <f>X53*0.08</f>
        <v>23120</v>
      </c>
    </row>
    <row r="54" spans="1:25" x14ac:dyDescent="0.2">
      <c r="A54" s="322"/>
      <c r="B54" s="324"/>
      <c r="C54" s="323"/>
      <c r="D54" s="323"/>
      <c r="E54" s="323"/>
      <c r="F54" s="324"/>
      <c r="G54" s="324"/>
      <c r="H54" s="324"/>
      <c r="I54" s="324"/>
      <c r="J54" s="324"/>
      <c r="K54" s="324"/>
      <c r="L54" s="324"/>
      <c r="M54" s="324"/>
      <c r="N54" s="324"/>
      <c r="O54" s="324"/>
      <c r="P54" s="324"/>
      <c r="Q54" s="324"/>
      <c r="R54" s="325"/>
      <c r="S54" s="322"/>
    </row>
    <row r="55" spans="1:25" x14ac:dyDescent="0.2">
      <c r="A55" s="308" t="s">
        <v>15</v>
      </c>
      <c r="B55" s="310"/>
      <c r="C55" s="318">
        <f t="shared" si="4"/>
        <v>244450</v>
      </c>
      <c r="D55" s="318">
        <f t="shared" si="5"/>
        <v>321.85648452929547</v>
      </c>
      <c r="E55" s="318">
        <f>E53+E35+E23+E12</f>
        <v>1466700</v>
      </c>
      <c r="F55" s="317"/>
      <c r="G55" s="317"/>
      <c r="H55" s="317"/>
      <c r="I55" s="317" t="e">
        <f>I53+I35+I23+I12</f>
        <v>#VALUE!</v>
      </c>
      <c r="J55" s="327" t="e">
        <f>#REF!-#REF!</f>
        <v>#REF!</v>
      </c>
      <c r="K55" s="327"/>
      <c r="L55" s="327"/>
      <c r="M55" s="327"/>
      <c r="N55" s="324"/>
      <c r="O55" s="324"/>
      <c r="P55" s="324"/>
      <c r="Q55" s="324"/>
      <c r="R55" s="324"/>
      <c r="S55" s="322"/>
    </row>
    <row r="56" spans="1:25" x14ac:dyDescent="0.2">
      <c r="A56" s="308"/>
      <c r="B56" s="310"/>
      <c r="C56" s="323"/>
      <c r="D56" s="323"/>
      <c r="E56" s="323"/>
      <c r="F56" s="324"/>
      <c r="G56" s="324"/>
      <c r="H56" s="335"/>
      <c r="I56" s="324"/>
      <c r="J56" s="324"/>
      <c r="K56" s="324"/>
      <c r="L56" s="324"/>
      <c r="M56" s="324"/>
      <c r="N56" s="324"/>
      <c r="O56" s="324"/>
      <c r="P56" s="324"/>
      <c r="Q56" s="324"/>
      <c r="R56" s="324"/>
      <c r="S56" s="322"/>
    </row>
    <row r="57" spans="1:25" x14ac:dyDescent="0.2">
      <c r="A57" s="308" t="s">
        <v>174</v>
      </c>
      <c r="B57" s="310"/>
      <c r="C57" s="323"/>
      <c r="D57" s="323"/>
      <c r="E57" s="323"/>
      <c r="F57" s="324"/>
      <c r="G57" s="324"/>
      <c r="H57" s="324"/>
      <c r="I57" s="324"/>
      <c r="J57" s="324"/>
      <c r="K57" s="324"/>
      <c r="L57" s="324"/>
      <c r="M57" s="324"/>
      <c r="N57" s="324"/>
      <c r="O57" s="324"/>
      <c r="P57" s="324"/>
      <c r="Q57" s="324"/>
      <c r="R57" s="324"/>
      <c r="S57" s="322"/>
    </row>
    <row r="58" spans="1:25" s="267" customFormat="1" x14ac:dyDescent="0.2">
      <c r="A58" s="322" t="s">
        <v>16</v>
      </c>
      <c r="B58" s="331">
        <v>0.1</v>
      </c>
      <c r="C58" s="323">
        <f t="shared" ref="C58:C60" si="6">E58/$B$6</f>
        <v>24445</v>
      </c>
      <c r="D58" s="323">
        <f t="shared" ref="D58:D60" si="7">E58/$B$7</f>
        <v>32.185648452929549</v>
      </c>
      <c r="E58" s="323">
        <f>B58*E55</f>
        <v>146670</v>
      </c>
      <c r="F58" s="327"/>
      <c r="G58" s="327"/>
      <c r="H58" s="325">
        <f>E58*0.2</f>
        <v>29334</v>
      </c>
      <c r="I58" s="324"/>
      <c r="J58" s="324"/>
      <c r="K58" s="324"/>
      <c r="L58" s="324"/>
      <c r="M58" s="324"/>
      <c r="N58" s="324"/>
      <c r="O58" s="324"/>
      <c r="P58" s="324"/>
      <c r="Q58" s="324"/>
      <c r="R58" s="324"/>
      <c r="S58" s="322" t="s">
        <v>367</v>
      </c>
    </row>
    <row r="59" spans="1:25" s="267" customFormat="1" x14ac:dyDescent="0.2">
      <c r="A59" s="322" t="s">
        <v>230</v>
      </c>
      <c r="B59" s="336"/>
      <c r="C59" s="323">
        <f t="shared" si="6"/>
        <v>2001.716135378357</v>
      </c>
      <c r="D59" s="323">
        <f t="shared" si="7"/>
        <v>2.635570948490265</v>
      </c>
      <c r="E59" s="323">
        <f>'[3]Operating B.'!C25*0.25</f>
        <v>12010.296812270142</v>
      </c>
      <c r="F59" s="327"/>
      <c r="G59" s="327"/>
      <c r="H59" s="327"/>
      <c r="I59" s="324"/>
      <c r="J59" s="324"/>
      <c r="K59" s="324"/>
      <c r="L59" s="324"/>
      <c r="M59" s="324"/>
      <c r="N59" s="324"/>
      <c r="O59" s="324"/>
      <c r="P59" s="324"/>
      <c r="Q59" s="324"/>
      <c r="R59" s="324"/>
      <c r="S59" s="322" t="s">
        <v>401</v>
      </c>
    </row>
    <row r="60" spans="1:25" s="244" customFormat="1" x14ac:dyDescent="0.2">
      <c r="A60" s="308" t="s">
        <v>376</v>
      </c>
      <c r="B60" s="310"/>
      <c r="C60" s="318">
        <f t="shared" si="6"/>
        <v>270896.71613537834</v>
      </c>
      <c r="D60" s="318">
        <f t="shared" si="7"/>
        <v>356.67770393071527</v>
      </c>
      <c r="E60" s="318">
        <f>E55+E58+E59</f>
        <v>1625380.2968122701</v>
      </c>
      <c r="F60" s="317">
        <f>SUM(F12:F59)</f>
        <v>277250</v>
      </c>
      <c r="G60" s="317">
        <f>F60*0.08</f>
        <v>22180</v>
      </c>
      <c r="H60" s="317"/>
      <c r="I60" s="317" t="e">
        <f>SUM(I55:I59)</f>
        <v>#VALUE!</v>
      </c>
      <c r="J60" s="317" t="e">
        <f>SUM(J55:J59)</f>
        <v>#REF!</v>
      </c>
      <c r="K60" s="317"/>
      <c r="L60" s="317" t="s">
        <v>289</v>
      </c>
      <c r="M60" s="317"/>
      <c r="N60" s="332">
        <f>+F60</f>
        <v>277250</v>
      </c>
      <c r="O60" s="310"/>
      <c r="P60" s="310"/>
      <c r="Q60" s="310"/>
      <c r="R60" s="310"/>
      <c r="S60" s="308"/>
    </row>
    <row r="61" spans="1:25" s="244" customFormat="1" x14ac:dyDescent="0.2">
      <c r="A61" s="308"/>
      <c r="B61" s="310"/>
      <c r="C61" s="318"/>
      <c r="D61" s="318"/>
      <c r="E61" s="318"/>
      <c r="F61" s="317"/>
      <c r="G61" s="317"/>
      <c r="H61" s="317"/>
      <c r="I61" s="317"/>
      <c r="J61" s="317"/>
      <c r="K61" s="317"/>
      <c r="L61" s="317"/>
      <c r="M61" s="317"/>
      <c r="N61" s="332"/>
      <c r="O61" s="310"/>
      <c r="P61" s="310"/>
      <c r="Q61" s="310"/>
      <c r="R61" s="310"/>
      <c r="S61" s="308"/>
    </row>
    <row r="62" spans="1:25" s="244" customFormat="1" x14ac:dyDescent="0.2">
      <c r="A62" s="308" t="s">
        <v>179</v>
      </c>
      <c r="B62" s="310"/>
      <c r="C62" s="318"/>
      <c r="D62" s="318"/>
      <c r="E62" s="318"/>
      <c r="F62" s="317"/>
      <c r="G62" s="317"/>
      <c r="H62" s="317"/>
      <c r="I62" s="317"/>
      <c r="J62" s="317"/>
      <c r="K62" s="317"/>
      <c r="L62" s="317"/>
      <c r="M62" s="317"/>
      <c r="N62" s="332"/>
      <c r="O62" s="310"/>
      <c r="P62" s="310"/>
      <c r="Q62" s="310"/>
      <c r="R62" s="310"/>
      <c r="S62" s="308"/>
    </row>
    <row r="63" spans="1:25" s="244" customFormat="1" x14ac:dyDescent="0.2">
      <c r="A63" s="322" t="str">
        <f>+A70</f>
        <v>Neighborhood Enhancement Program- 2 Bedrooms</v>
      </c>
      <c r="B63" s="324"/>
      <c r="C63" s="323">
        <f t="shared" ref="C63:C66" si="8">E63/$B$6</f>
        <v>175000</v>
      </c>
      <c r="D63" s="323">
        <f t="shared" ref="D63:D67" si="9">E63/$B$7</f>
        <v>230.4147465437787</v>
      </c>
      <c r="E63" s="323">
        <f>+E70</f>
        <v>1050000</v>
      </c>
      <c r="F63" s="317"/>
      <c r="G63" s="317"/>
      <c r="H63" s="317"/>
      <c r="I63" s="317"/>
      <c r="J63" s="317"/>
      <c r="K63" s="317"/>
      <c r="L63" s="317"/>
      <c r="M63" s="317"/>
      <c r="N63" s="332"/>
      <c r="O63" s="310"/>
      <c r="P63" s="310"/>
      <c r="Q63" s="310"/>
      <c r="R63" s="310"/>
      <c r="S63" s="308"/>
    </row>
    <row r="64" spans="1:25" s="244" customFormat="1" x14ac:dyDescent="0.2">
      <c r="A64" s="322" t="str">
        <f>+A71</f>
        <v>NRTC Funds</v>
      </c>
      <c r="B64" s="324"/>
      <c r="C64" s="323">
        <f t="shared" si="8"/>
        <v>57272.727272727272</v>
      </c>
      <c r="D64" s="323">
        <f t="shared" si="9"/>
        <v>75.40846250523667</v>
      </c>
      <c r="E64" s="323">
        <f>+E71</f>
        <v>343636.36363636365</v>
      </c>
      <c r="F64" s="317"/>
      <c r="G64" s="317"/>
      <c r="H64" s="317"/>
      <c r="I64" s="317"/>
      <c r="J64" s="317"/>
      <c r="K64" s="317"/>
      <c r="L64" s="317"/>
      <c r="M64" s="317"/>
      <c r="N64" s="332"/>
      <c r="O64" s="310"/>
      <c r="P64" s="310"/>
      <c r="Q64" s="310"/>
      <c r="R64" s="310"/>
      <c r="S64" s="337"/>
      <c r="T64" s="296"/>
      <c r="U64" s="270"/>
    </row>
    <row r="65" spans="1:24" s="244" customFormat="1" x14ac:dyDescent="0.2">
      <c r="A65" s="322" t="str">
        <f>+A72</f>
        <v>Jersey City HOME/AHTF</v>
      </c>
      <c r="B65" s="324"/>
      <c r="C65" s="323">
        <f>+C72</f>
        <v>28623.988862651026</v>
      </c>
      <c r="D65" s="323">
        <f>+D72</f>
        <v>37.687937936341037</v>
      </c>
      <c r="E65" s="323">
        <f>+E72</f>
        <v>171743.93317590616</v>
      </c>
      <c r="F65" s="317"/>
      <c r="G65" s="317"/>
      <c r="H65" s="317"/>
      <c r="I65" s="317"/>
      <c r="J65" s="317"/>
      <c r="K65" s="317"/>
      <c r="L65" s="317"/>
      <c r="M65" s="317"/>
      <c r="N65" s="332"/>
      <c r="O65" s="310"/>
      <c r="P65" s="310"/>
      <c r="Q65" s="310"/>
      <c r="R65" s="310"/>
      <c r="S65" s="308"/>
      <c r="U65" s="270"/>
    </row>
    <row r="66" spans="1:24" s="244" customFormat="1" x14ac:dyDescent="0.2">
      <c r="A66" s="322" t="s">
        <v>314</v>
      </c>
      <c r="B66" s="324"/>
      <c r="C66" s="323">
        <f t="shared" si="8"/>
        <v>9999.9999999999945</v>
      </c>
      <c r="D66" s="323">
        <f t="shared" si="9"/>
        <v>13.166556945358778</v>
      </c>
      <c r="E66" s="323">
        <f>+E73</f>
        <v>59999.999999999971</v>
      </c>
      <c r="F66" s="317"/>
      <c r="G66" s="317"/>
      <c r="H66" s="317"/>
      <c r="I66" s="317"/>
      <c r="J66" s="317"/>
      <c r="K66" s="317"/>
      <c r="L66" s="317"/>
      <c r="M66" s="317"/>
      <c r="N66" s="332"/>
      <c r="O66" s="310"/>
      <c r="P66" s="310"/>
      <c r="Q66" s="310"/>
      <c r="R66" s="332"/>
      <c r="S66" s="338"/>
    </row>
    <row r="67" spans="1:24" s="244" customFormat="1" x14ac:dyDescent="0.2">
      <c r="A67" s="308" t="s">
        <v>315</v>
      </c>
      <c r="B67" s="310"/>
      <c r="C67" s="317">
        <f>E67/7</f>
        <v>232197.18525889568</v>
      </c>
      <c r="D67" s="318">
        <f t="shared" si="9"/>
        <v>356.67770393071521</v>
      </c>
      <c r="E67" s="318">
        <f>SUM(E63:E66)</f>
        <v>1625380.2968122698</v>
      </c>
      <c r="F67" s="317"/>
      <c r="G67" s="317"/>
      <c r="H67" s="317"/>
      <c r="I67" s="317"/>
      <c r="J67" s="317"/>
      <c r="K67" s="317"/>
      <c r="L67" s="317"/>
      <c r="M67" s="317"/>
      <c r="N67" s="332"/>
      <c r="O67" s="310"/>
      <c r="P67" s="310"/>
      <c r="Q67" s="310"/>
      <c r="R67" s="310"/>
      <c r="S67" s="308"/>
    </row>
    <row r="68" spans="1:24" s="267" customFormat="1" x14ac:dyDescent="0.2">
      <c r="A68" s="322"/>
      <c r="B68" s="324"/>
      <c r="C68" s="318"/>
      <c r="D68" s="318"/>
      <c r="E68" s="323"/>
      <c r="F68" s="324"/>
      <c r="G68" s="324"/>
      <c r="H68" s="324"/>
      <c r="I68" s="324"/>
      <c r="J68" s="324"/>
      <c r="K68" s="324"/>
      <c r="L68" s="324" t="s">
        <v>291</v>
      </c>
      <c r="M68" s="324"/>
      <c r="N68" s="339">
        <v>50000</v>
      </c>
      <c r="O68" s="324"/>
      <c r="P68" s="324"/>
      <c r="Q68" s="324"/>
      <c r="R68" s="324"/>
      <c r="S68" s="322"/>
    </row>
    <row r="69" spans="1:24" s="267" customFormat="1" x14ac:dyDescent="0.2">
      <c r="A69" s="308" t="s">
        <v>231</v>
      </c>
      <c r="B69" s="324"/>
      <c r="C69" s="323"/>
      <c r="D69" s="323"/>
      <c r="E69" s="325"/>
      <c r="F69" s="324"/>
      <c r="G69" s="324"/>
      <c r="H69" s="324"/>
      <c r="I69" s="324"/>
      <c r="J69" s="324"/>
      <c r="K69" s="324"/>
      <c r="L69" s="324" t="s">
        <v>92</v>
      </c>
      <c r="M69" s="331">
        <v>7.4999999999999997E-2</v>
      </c>
      <c r="N69" s="324"/>
      <c r="O69" s="324"/>
      <c r="P69" s="324"/>
      <c r="Q69" s="324"/>
      <c r="R69" s="324"/>
      <c r="S69" s="322"/>
    </row>
    <row r="70" spans="1:24" s="267" customFormat="1" x14ac:dyDescent="0.2">
      <c r="A70" s="322" t="s">
        <v>328</v>
      </c>
      <c r="B70" s="324"/>
      <c r="C70" s="323">
        <v>175000</v>
      </c>
      <c r="D70" s="323">
        <f t="shared" ref="D70:D75" si="10">E70/$B$7</f>
        <v>230.4147465437787</v>
      </c>
      <c r="E70" s="323">
        <f>C70*B6</f>
        <v>1050000</v>
      </c>
      <c r="F70" s="324"/>
      <c r="G70" s="324"/>
      <c r="H70" s="324"/>
      <c r="I70" s="324"/>
      <c r="J70" s="324"/>
      <c r="K70" s="324"/>
      <c r="L70" s="324"/>
      <c r="M70" s="331"/>
      <c r="N70" s="324"/>
      <c r="O70" s="324"/>
      <c r="P70" s="324"/>
      <c r="Q70" s="324"/>
      <c r="R70" s="324"/>
      <c r="S70" s="322"/>
    </row>
    <row r="71" spans="1:24" s="267" customFormat="1" x14ac:dyDescent="0.2">
      <c r="A71" s="322" t="s">
        <v>317</v>
      </c>
      <c r="B71" s="324"/>
      <c r="C71" s="323">
        <f t="shared" ref="C71:C75" si="11">E71/$B$6</f>
        <v>57272.727272727272</v>
      </c>
      <c r="D71" s="323">
        <f t="shared" si="10"/>
        <v>75.40846250523667</v>
      </c>
      <c r="E71" s="323">
        <f>(600000*0.9)-'Development Budget'!E71</f>
        <v>343636.36363636365</v>
      </c>
      <c r="F71" s="327"/>
      <c r="G71" s="327"/>
      <c r="H71" s="327"/>
      <c r="I71" s="324"/>
      <c r="J71" s="324">
        <v>1540000</v>
      </c>
      <c r="K71" s="324"/>
      <c r="L71" s="324" t="s">
        <v>293</v>
      </c>
      <c r="M71" s="324"/>
      <c r="N71" s="327" t="e">
        <f>M69*#REF!</f>
        <v>#REF!</v>
      </c>
      <c r="O71" s="324"/>
      <c r="P71" s="324"/>
      <c r="Q71" s="324"/>
      <c r="R71" s="324"/>
      <c r="S71" s="340"/>
      <c r="T71" s="297"/>
      <c r="X71" s="297"/>
    </row>
    <row r="72" spans="1:24" s="267" customFormat="1" x14ac:dyDescent="0.2">
      <c r="A72" s="322" t="s">
        <v>329</v>
      </c>
      <c r="B72" s="324"/>
      <c r="C72" s="323">
        <f t="shared" si="11"/>
        <v>28623.988862651026</v>
      </c>
      <c r="D72" s="323">
        <f t="shared" si="10"/>
        <v>37.687937936341037</v>
      </c>
      <c r="E72" s="323">
        <v>171743.93317590616</v>
      </c>
      <c r="F72" s="327"/>
      <c r="G72" s="327"/>
      <c r="H72" s="327"/>
      <c r="I72" s="324"/>
      <c r="J72" s="324"/>
      <c r="K72" s="324"/>
      <c r="L72" s="324"/>
      <c r="M72" s="324"/>
      <c r="N72" s="327"/>
      <c r="O72" s="324"/>
      <c r="P72" s="324"/>
      <c r="Q72" s="324"/>
      <c r="R72" s="324"/>
      <c r="S72" s="322"/>
    </row>
    <row r="73" spans="1:24" s="267" customFormat="1" x14ac:dyDescent="0.2">
      <c r="A73" s="322" t="s">
        <v>299</v>
      </c>
      <c r="B73" s="325"/>
      <c r="C73" s="323">
        <f t="shared" si="11"/>
        <v>9999.9999999999945</v>
      </c>
      <c r="D73" s="323">
        <f t="shared" si="10"/>
        <v>13.166556945358778</v>
      </c>
      <c r="E73" s="323">
        <f>+'bostwick operating'!D38</f>
        <v>59999.999999999971</v>
      </c>
      <c r="F73" s="327"/>
      <c r="G73" s="327"/>
      <c r="H73" s="327"/>
      <c r="I73" s="324"/>
      <c r="J73" s="327">
        <v>322826</v>
      </c>
      <c r="K73" s="327"/>
      <c r="L73" s="327" t="s">
        <v>92</v>
      </c>
      <c r="M73" s="331">
        <v>7.4999999999999997E-2</v>
      </c>
      <c r="N73" s="324"/>
      <c r="O73" s="324"/>
      <c r="P73" s="324"/>
      <c r="Q73" s="324"/>
      <c r="R73" s="324"/>
      <c r="S73" s="322"/>
    </row>
    <row r="74" spans="1:24" s="244" customFormat="1" x14ac:dyDescent="0.2">
      <c r="A74" s="308" t="s">
        <v>233</v>
      </c>
      <c r="B74" s="310"/>
      <c r="C74" s="318">
        <f t="shared" si="11"/>
        <v>270896.71613537829</v>
      </c>
      <c r="D74" s="318">
        <f t="shared" si="10"/>
        <v>356.67770393071521</v>
      </c>
      <c r="E74" s="318">
        <f>SUM(E70:E73)</f>
        <v>1625380.2968122698</v>
      </c>
      <c r="F74" s="317"/>
      <c r="G74" s="317"/>
      <c r="H74" s="317"/>
      <c r="I74" s="317">
        <f>SUM(I71:I73)</f>
        <v>0</v>
      </c>
      <c r="J74" s="317">
        <f>SUM(J71:J73)</f>
        <v>1862826</v>
      </c>
      <c r="K74" s="317"/>
      <c r="L74" s="317" t="s">
        <v>293</v>
      </c>
      <c r="M74" s="317"/>
      <c r="N74" s="332" t="e">
        <f>#REF!*M73</f>
        <v>#REF!</v>
      </c>
      <c r="O74" s="310"/>
      <c r="P74" s="310"/>
      <c r="Q74" s="310"/>
      <c r="R74" s="310"/>
      <c r="S74" s="308"/>
    </row>
    <row r="75" spans="1:24" s="276" customFormat="1" x14ac:dyDescent="0.2">
      <c r="A75" s="301"/>
      <c r="B75" s="273"/>
      <c r="C75" s="274">
        <f t="shared" si="11"/>
        <v>0</v>
      </c>
      <c r="D75" s="274">
        <f t="shared" si="10"/>
        <v>0</v>
      </c>
      <c r="E75" s="275">
        <f>E60-E74</f>
        <v>0</v>
      </c>
      <c r="L75" s="276" t="s">
        <v>296</v>
      </c>
      <c r="M75" s="277">
        <v>1.4999999999999999E-2</v>
      </c>
      <c r="N75" s="278" t="e">
        <f>M75*N74</f>
        <v>#REF!</v>
      </c>
    </row>
    <row r="76" spans="1:24" s="267" customFormat="1" x14ac:dyDescent="0.2">
      <c r="A76" s="302"/>
      <c r="B76" s="273"/>
      <c r="C76" s="280"/>
      <c r="D76" s="280"/>
      <c r="E76" s="281"/>
    </row>
  </sheetData>
  <pageMargins left="0.7" right="0.7" top="0.75" bottom="0.75" header="0.3" footer="0.3"/>
  <pageSetup scale="75" orientation="portrait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/>
  <dimension ref="A1:F32"/>
  <sheetViews>
    <sheetView workbookViewId="0">
      <selection sqref="A1:C32"/>
    </sheetView>
  </sheetViews>
  <sheetFormatPr defaultRowHeight="15" x14ac:dyDescent="0.2"/>
  <cols>
    <col min="1" max="1" width="23.7109375" style="41" bestFit="1" customWidth="1"/>
    <col min="2" max="3" width="9.85546875" style="41" bestFit="1" customWidth="1"/>
    <col min="4" max="4" width="14.5703125" style="41" bestFit="1" customWidth="1"/>
    <col min="5" max="16384" width="9.140625" style="41"/>
  </cols>
  <sheetData>
    <row r="1" spans="1:3" x14ac:dyDescent="0.2">
      <c r="A1" s="236" t="str">
        <f>+'bostwick dev budget'!A2</f>
        <v>77 Bostwick Avenue</v>
      </c>
      <c r="B1" s="236"/>
      <c r="C1" s="238"/>
    </row>
    <row r="2" spans="1:3" x14ac:dyDescent="0.2">
      <c r="A2" s="236" t="s">
        <v>252</v>
      </c>
      <c r="B2" s="236"/>
      <c r="C2" s="238"/>
    </row>
    <row r="3" spans="1:3" x14ac:dyDescent="0.2">
      <c r="A3" s="245"/>
      <c r="B3" s="245"/>
      <c r="C3" s="238"/>
    </row>
    <row r="4" spans="1:3" x14ac:dyDescent="0.2">
      <c r="A4" s="243"/>
      <c r="B4" s="243"/>
      <c r="C4" s="243" t="s">
        <v>330</v>
      </c>
    </row>
    <row r="5" spans="1:3" x14ac:dyDescent="0.2">
      <c r="A5" s="243" t="s">
        <v>287</v>
      </c>
      <c r="B5" s="243"/>
      <c r="C5" s="298" t="s">
        <v>288</v>
      </c>
    </row>
    <row r="6" spans="1:3" x14ac:dyDescent="0.2">
      <c r="A6" s="298" t="s">
        <v>0</v>
      </c>
      <c r="B6" s="298"/>
      <c r="C6" s="258">
        <v>6</v>
      </c>
    </row>
    <row r="7" spans="1:3" x14ac:dyDescent="0.2">
      <c r="A7" s="298" t="s">
        <v>102</v>
      </c>
      <c r="B7" s="298"/>
      <c r="C7" s="298" t="s">
        <v>87</v>
      </c>
    </row>
    <row r="8" spans="1:3" x14ac:dyDescent="0.2">
      <c r="A8" s="298" t="s">
        <v>82</v>
      </c>
      <c r="B8" s="298"/>
      <c r="C8" s="360">
        <f>+'bostwick project size'!C8</f>
        <v>690.45454545454572</v>
      </c>
    </row>
    <row r="9" spans="1:3" x14ac:dyDescent="0.2">
      <c r="A9" s="298" t="s">
        <v>20</v>
      </c>
      <c r="B9" s="298"/>
      <c r="C9" s="258">
        <v>3</v>
      </c>
    </row>
    <row r="10" spans="1:3" x14ac:dyDescent="0.2">
      <c r="A10" s="298" t="s">
        <v>96</v>
      </c>
      <c r="B10" s="298"/>
      <c r="C10" s="300">
        <f>34700*2</f>
        <v>69400</v>
      </c>
    </row>
    <row r="11" spans="1:3" x14ac:dyDescent="0.2">
      <c r="A11" s="298" t="s">
        <v>21</v>
      </c>
      <c r="B11" s="298"/>
      <c r="C11" s="357">
        <v>0.49971181556195954</v>
      </c>
    </row>
    <row r="12" spans="1:3" x14ac:dyDescent="0.2">
      <c r="A12" s="298" t="s">
        <v>22</v>
      </c>
      <c r="B12" s="357">
        <v>0.8</v>
      </c>
      <c r="C12" s="299">
        <f>C10*B12</f>
        <v>55520</v>
      </c>
    </row>
    <row r="13" spans="1:3" x14ac:dyDescent="0.2">
      <c r="A13" s="298" t="s">
        <v>214</v>
      </c>
      <c r="B13" s="298"/>
      <c r="C13" s="300">
        <f>C11*C10</f>
        <v>34679.999999999993</v>
      </c>
    </row>
    <row r="14" spans="1:3" x14ac:dyDescent="0.2">
      <c r="A14" s="298" t="s">
        <v>105</v>
      </c>
      <c r="B14" s="298"/>
      <c r="C14" s="252">
        <v>0.3</v>
      </c>
    </row>
    <row r="15" spans="1:3" x14ac:dyDescent="0.2">
      <c r="A15" s="298" t="s">
        <v>243</v>
      </c>
      <c r="B15" s="298"/>
      <c r="C15" s="300">
        <f>C14*C13</f>
        <v>10403.999999999998</v>
      </c>
    </row>
    <row r="16" spans="1:3" x14ac:dyDescent="0.2">
      <c r="A16" s="298" t="s">
        <v>312</v>
      </c>
      <c r="B16" s="298"/>
      <c r="C16" s="300">
        <f>C15/12</f>
        <v>866.99999999999989</v>
      </c>
    </row>
    <row r="17" spans="1:6" x14ac:dyDescent="0.2">
      <c r="A17" s="298" t="s">
        <v>84</v>
      </c>
      <c r="B17" s="298"/>
      <c r="C17" s="300">
        <f>+C32</f>
        <v>167</v>
      </c>
    </row>
    <row r="18" spans="1:6" x14ac:dyDescent="0.2">
      <c r="A18" s="298" t="s">
        <v>94</v>
      </c>
      <c r="B18" s="298"/>
      <c r="C18" s="300">
        <f>C16-C17</f>
        <v>699.99999999999989</v>
      </c>
    </row>
    <row r="19" spans="1:6" ht="15" customHeight="1" x14ac:dyDescent="0.2">
      <c r="A19" s="298" t="s">
        <v>23</v>
      </c>
      <c r="B19" s="298"/>
      <c r="C19" s="358">
        <f>C18*12</f>
        <v>8399.9999999999982</v>
      </c>
      <c r="F19" s="41" t="s">
        <v>332</v>
      </c>
    </row>
    <row r="20" spans="1:6" x14ac:dyDescent="0.2">
      <c r="A20" s="243" t="s">
        <v>24</v>
      </c>
      <c r="B20" s="243"/>
      <c r="C20" s="256">
        <f>C19*C6</f>
        <v>50399.999999999985</v>
      </c>
      <c r="D20" s="47"/>
    </row>
    <row r="21" spans="1:6" x14ac:dyDescent="0.2">
      <c r="A21" s="244"/>
      <c r="B21" s="244"/>
      <c r="C21" s="359"/>
    </row>
    <row r="22" spans="1:6" x14ac:dyDescent="0.2">
      <c r="A22" s="244" t="s">
        <v>244</v>
      </c>
      <c r="B22" s="270">
        <f>+C20</f>
        <v>50399.999999999985</v>
      </c>
      <c r="C22" s="359"/>
    </row>
    <row r="23" spans="1:6" x14ac:dyDescent="0.2">
      <c r="A23" s="238"/>
      <c r="B23" s="238"/>
      <c r="C23" s="238"/>
      <c r="D23" s="47"/>
    </row>
    <row r="24" spans="1:6" x14ac:dyDescent="0.2">
      <c r="A24" s="244" t="s">
        <v>240</v>
      </c>
      <c r="B24" s="244"/>
      <c r="C24" s="261" t="str">
        <f>+C7</f>
        <v>2BR</v>
      </c>
    </row>
    <row r="25" spans="1:6" x14ac:dyDescent="0.2">
      <c r="A25" s="267" t="s">
        <v>103</v>
      </c>
      <c r="B25" s="267"/>
      <c r="C25" s="262">
        <v>67</v>
      </c>
    </row>
    <row r="26" spans="1:6" x14ac:dyDescent="0.2">
      <c r="A26" s="267" t="s">
        <v>241</v>
      </c>
      <c r="B26" s="267"/>
      <c r="C26" s="262">
        <v>12</v>
      </c>
    </row>
    <row r="27" spans="1:6" x14ac:dyDescent="0.2">
      <c r="A27" s="267" t="s">
        <v>104</v>
      </c>
      <c r="B27" s="267"/>
      <c r="C27" s="262">
        <v>49</v>
      </c>
    </row>
    <row r="28" spans="1:6" x14ac:dyDescent="0.2">
      <c r="A28" s="267" t="s">
        <v>91</v>
      </c>
      <c r="B28" s="267"/>
      <c r="C28" s="262">
        <v>16</v>
      </c>
    </row>
    <row r="29" spans="1:6" x14ac:dyDescent="0.2">
      <c r="A29" s="267" t="s">
        <v>242</v>
      </c>
      <c r="B29" s="267"/>
      <c r="C29" s="262">
        <v>15</v>
      </c>
    </row>
    <row r="30" spans="1:6" x14ac:dyDescent="0.2">
      <c r="A30" s="267" t="s">
        <v>89</v>
      </c>
      <c r="B30" s="267"/>
      <c r="C30" s="262">
        <v>5</v>
      </c>
    </row>
    <row r="31" spans="1:6" x14ac:dyDescent="0.2">
      <c r="A31" s="267" t="s">
        <v>90</v>
      </c>
      <c r="B31" s="267"/>
      <c r="C31" s="262">
        <v>3</v>
      </c>
    </row>
    <row r="32" spans="1:6" s="49" customFormat="1" ht="15.75" x14ac:dyDescent="0.25">
      <c r="A32" s="244" t="s">
        <v>19</v>
      </c>
      <c r="B32" s="244"/>
      <c r="C32" s="295">
        <f>SUM(C25:C31)</f>
        <v>167</v>
      </c>
    </row>
  </sheetData>
  <pageMargins left="0.7" right="0.7" top="0.75" bottom="0.75" header="0.3" footer="0.3"/>
  <pageSetup scale="80" orientation="landscape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/>
  <dimension ref="A1:R38"/>
  <sheetViews>
    <sheetView topLeftCell="A17" workbookViewId="0">
      <selection activeCell="C41" sqref="C41"/>
    </sheetView>
  </sheetViews>
  <sheetFormatPr defaultRowHeight="12.75" x14ac:dyDescent="0.2"/>
  <cols>
    <col min="1" max="1" width="39.140625" style="55" customWidth="1"/>
    <col min="2" max="2" width="24.7109375" style="55" bestFit="1" customWidth="1"/>
    <col min="3" max="3" width="24" style="55" bestFit="1" customWidth="1"/>
    <col min="4" max="12" width="17.140625" style="55" bestFit="1" customWidth="1"/>
    <col min="13" max="17" width="17.140625" style="55" hidden="1" customWidth="1"/>
    <col min="18" max="18" width="21" style="55" hidden="1" customWidth="1"/>
    <col min="19" max="27" width="0" style="55" hidden="1" customWidth="1"/>
    <col min="28" max="16384" width="9.140625" style="55"/>
  </cols>
  <sheetData>
    <row r="1" spans="1:17" ht="18" x14ac:dyDescent="0.25">
      <c r="A1" s="128" t="str">
        <f>+'bostwick rent roll'!A1</f>
        <v>77 Bostwick Avenue</v>
      </c>
      <c r="B1" s="128"/>
      <c r="J1" s="129"/>
      <c r="K1" s="130"/>
      <c r="L1" s="128"/>
    </row>
    <row r="2" spans="1:17" ht="18" x14ac:dyDescent="0.25">
      <c r="A2" s="128" t="s">
        <v>26</v>
      </c>
      <c r="B2" s="131"/>
      <c r="C2" s="61"/>
      <c r="D2" s="61"/>
      <c r="E2" s="61"/>
      <c r="F2" s="61"/>
      <c r="G2" s="61"/>
      <c r="H2" s="61"/>
      <c r="I2" s="61"/>
      <c r="J2" s="61"/>
      <c r="K2" s="61"/>
      <c r="L2" s="61"/>
      <c r="M2" s="61" t="e">
        <f>M9+#REF!-M11-#REF!</f>
        <v>#REF!</v>
      </c>
      <c r="N2" s="61" t="e">
        <f>N9+#REF!-N11-#REF!</f>
        <v>#REF!</v>
      </c>
      <c r="O2" s="61" t="e">
        <f>O9+#REF!-O11-#REF!</f>
        <v>#REF!</v>
      </c>
      <c r="P2" s="61" t="e">
        <f>P9+#REF!-P11-#REF!</f>
        <v>#REF!</v>
      </c>
      <c r="Q2" s="61" t="e">
        <f>Q9+#REF!-Q11-#REF!</f>
        <v>#REF!</v>
      </c>
    </row>
    <row r="4" spans="1:17" x14ac:dyDescent="0.2">
      <c r="A4" s="55" t="s">
        <v>0</v>
      </c>
      <c r="C4" s="55">
        <f>+'bostwick dev budget'!B6</f>
        <v>6</v>
      </c>
    </row>
    <row r="5" spans="1:17" x14ac:dyDescent="0.2">
      <c r="A5" s="55" t="s">
        <v>27</v>
      </c>
      <c r="C5" s="60">
        <v>0.03</v>
      </c>
      <c r="E5" s="61"/>
    </row>
    <row r="6" spans="1:17" x14ac:dyDescent="0.2">
      <c r="A6" s="55" t="s">
        <v>28</v>
      </c>
      <c r="C6" s="60">
        <v>3.5000000000000003E-2</v>
      </c>
      <c r="D6" s="61"/>
      <c r="E6" s="61"/>
    </row>
    <row r="7" spans="1:17" x14ac:dyDescent="0.2">
      <c r="C7" s="61"/>
      <c r="E7" s="62"/>
      <c r="F7" s="62"/>
      <c r="G7" s="62"/>
      <c r="H7" s="62"/>
      <c r="I7" s="62"/>
      <c r="J7" s="62"/>
      <c r="K7" s="62"/>
      <c r="L7" s="62"/>
    </row>
    <row r="8" spans="1:17" s="64" customFormat="1" x14ac:dyDescent="0.2">
      <c r="A8" s="64" t="s">
        <v>27</v>
      </c>
      <c r="C8" s="64" t="s">
        <v>29</v>
      </c>
      <c r="D8" s="64" t="s">
        <v>30</v>
      </c>
      <c r="E8" s="65" t="s">
        <v>31</v>
      </c>
      <c r="F8" s="65" t="s">
        <v>37</v>
      </c>
      <c r="G8" s="65" t="s">
        <v>38</v>
      </c>
      <c r="H8" s="65" t="s">
        <v>39</v>
      </c>
      <c r="I8" s="65" t="s">
        <v>40</v>
      </c>
      <c r="J8" s="65" t="s">
        <v>41</v>
      </c>
      <c r="K8" s="65" t="s">
        <v>42</v>
      </c>
      <c r="L8" s="65" t="s">
        <v>43</v>
      </c>
      <c r="M8" s="65" t="s">
        <v>97</v>
      </c>
      <c r="N8" s="65" t="s">
        <v>98</v>
      </c>
      <c r="O8" s="65" t="s">
        <v>99</v>
      </c>
      <c r="P8" s="65" t="s">
        <v>100</v>
      </c>
      <c r="Q8" s="65" t="s">
        <v>101</v>
      </c>
    </row>
    <row r="9" spans="1:17" x14ac:dyDescent="0.2">
      <c r="A9" s="55" t="s">
        <v>184</v>
      </c>
      <c r="C9" s="61">
        <f>+'bostwick rent roll'!B22</f>
        <v>50399.999999999985</v>
      </c>
      <c r="D9" s="61">
        <f>C9*$C$5+C9</f>
        <v>51911.999999999985</v>
      </c>
      <c r="E9" s="61">
        <f t="shared" ref="E9:Q9" si="0">D9*$C$5+D9</f>
        <v>53469.359999999986</v>
      </c>
      <c r="F9" s="61">
        <f t="shared" si="0"/>
        <v>55073.440799999982</v>
      </c>
      <c r="G9" s="61">
        <f t="shared" si="0"/>
        <v>56725.644023999979</v>
      </c>
      <c r="H9" s="61">
        <f t="shared" si="0"/>
        <v>58427.413344719978</v>
      </c>
      <c r="I9" s="61">
        <f t="shared" si="0"/>
        <v>60180.235745061575</v>
      </c>
      <c r="J9" s="61">
        <f t="shared" si="0"/>
        <v>61985.64281741342</v>
      </c>
      <c r="K9" s="61">
        <f t="shared" si="0"/>
        <v>63845.212101935824</v>
      </c>
      <c r="L9" s="61">
        <f t="shared" si="0"/>
        <v>65760.568464993892</v>
      </c>
      <c r="M9" s="61">
        <f t="shared" si="0"/>
        <v>67733.385518943702</v>
      </c>
      <c r="N9" s="61">
        <f t="shared" si="0"/>
        <v>69765.387084512011</v>
      </c>
      <c r="O9" s="61">
        <f t="shared" si="0"/>
        <v>71858.348697047375</v>
      </c>
      <c r="P9" s="61">
        <f t="shared" si="0"/>
        <v>74014.099157958801</v>
      </c>
      <c r="Q9" s="61">
        <f t="shared" si="0"/>
        <v>76234.522132697559</v>
      </c>
    </row>
    <row r="10" spans="1:17" x14ac:dyDescent="0.2">
      <c r="A10" s="55" t="s">
        <v>313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</row>
    <row r="11" spans="1:17" ht="13.5" thickBot="1" x14ac:dyDescent="0.25">
      <c r="A11" s="55" t="s">
        <v>32</v>
      </c>
      <c r="B11" s="103">
        <v>0.05</v>
      </c>
      <c r="C11" s="61">
        <f>B11*C9</f>
        <v>2519.9999999999995</v>
      </c>
      <c r="D11" s="61">
        <f t="shared" ref="D11:L11" si="1">$B$11*D9</f>
        <v>2595.5999999999995</v>
      </c>
      <c r="E11" s="61">
        <f t="shared" si="1"/>
        <v>2673.4679999999994</v>
      </c>
      <c r="F11" s="61">
        <f t="shared" si="1"/>
        <v>2753.6720399999995</v>
      </c>
      <c r="G11" s="61">
        <f t="shared" si="1"/>
        <v>2836.2822011999992</v>
      </c>
      <c r="H11" s="61">
        <f t="shared" si="1"/>
        <v>2921.370667235999</v>
      </c>
      <c r="I11" s="61">
        <f t="shared" si="1"/>
        <v>3009.0117872530791</v>
      </c>
      <c r="J11" s="61">
        <f t="shared" si="1"/>
        <v>3099.2821408706714</v>
      </c>
      <c r="K11" s="61">
        <f t="shared" si="1"/>
        <v>3192.2606050967916</v>
      </c>
      <c r="L11" s="61">
        <f t="shared" si="1"/>
        <v>3288.0284232496947</v>
      </c>
      <c r="M11" s="61">
        <f t="shared" ref="M11:Q11" si="2">M9*$B$11</f>
        <v>3386.6692759471853</v>
      </c>
      <c r="N11" s="61">
        <f t="shared" si="2"/>
        <v>3488.2693542256006</v>
      </c>
      <c r="O11" s="61">
        <f t="shared" si="2"/>
        <v>3592.9174348523688</v>
      </c>
      <c r="P11" s="61">
        <f t="shared" si="2"/>
        <v>3700.7049578979404</v>
      </c>
      <c r="Q11" s="61">
        <f t="shared" si="2"/>
        <v>3811.7261066348783</v>
      </c>
    </row>
    <row r="12" spans="1:17" s="64" customFormat="1" ht="13.5" thickBot="1" x14ac:dyDescent="0.25">
      <c r="A12" s="64" t="s">
        <v>108</v>
      </c>
      <c r="C12" s="176">
        <f>C9+C10-C11</f>
        <v>47879.999999999985</v>
      </c>
      <c r="D12" s="176">
        <f t="shared" ref="D12:L12" si="3">D9+D10-D11</f>
        <v>49316.399999999987</v>
      </c>
      <c r="E12" s="176">
        <f t="shared" si="3"/>
        <v>50795.891999999985</v>
      </c>
      <c r="F12" s="176">
        <f t="shared" si="3"/>
        <v>52319.768759999984</v>
      </c>
      <c r="G12" s="176">
        <f t="shared" si="3"/>
        <v>53889.361822799983</v>
      </c>
      <c r="H12" s="176">
        <f t="shared" si="3"/>
        <v>55506.04267748398</v>
      </c>
      <c r="I12" s="176">
        <f t="shared" si="3"/>
        <v>57171.223957808499</v>
      </c>
      <c r="J12" s="176">
        <f t="shared" si="3"/>
        <v>58886.360676542747</v>
      </c>
      <c r="K12" s="176">
        <f t="shared" si="3"/>
        <v>60652.951496839029</v>
      </c>
      <c r="L12" s="176">
        <f t="shared" si="3"/>
        <v>62472.5400417442</v>
      </c>
      <c r="M12" s="109" t="e">
        <f>#REF!+#REF!</f>
        <v>#REF!</v>
      </c>
      <c r="N12" s="109" t="e">
        <f>#REF!+#REF!</f>
        <v>#REF!</v>
      </c>
      <c r="O12" s="109" t="e">
        <f>#REF!+#REF!</f>
        <v>#REF!</v>
      </c>
      <c r="P12" s="109" t="e">
        <f>#REF!+#REF!</f>
        <v>#REF!</v>
      </c>
      <c r="Q12" s="109" t="e">
        <f>#REF!+#REF!</f>
        <v>#REF!</v>
      </c>
    </row>
    <row r="13" spans="1:17" x14ac:dyDescent="0.2">
      <c r="C13" s="61"/>
      <c r="D13" s="61"/>
      <c r="E13" s="61"/>
      <c r="F13" s="61"/>
      <c r="G13" s="61"/>
      <c r="H13" s="61"/>
      <c r="I13" s="61"/>
      <c r="J13" s="61"/>
      <c r="K13" s="61"/>
      <c r="L13" s="61"/>
    </row>
    <row r="14" spans="1:17" x14ac:dyDescent="0.2">
      <c r="C14" s="56"/>
      <c r="D14" s="56"/>
      <c r="E14" s="76"/>
      <c r="F14" s="76"/>
      <c r="G14" s="76"/>
      <c r="H14" s="76"/>
      <c r="I14" s="76"/>
      <c r="J14" s="76"/>
      <c r="K14" s="76"/>
      <c r="L14" s="76"/>
      <c r="M14" s="56"/>
      <c r="N14" s="56"/>
      <c r="O14" s="56"/>
      <c r="P14" s="56"/>
      <c r="Q14" s="56"/>
    </row>
    <row r="15" spans="1:17" x14ac:dyDescent="0.2">
      <c r="A15" s="64" t="s">
        <v>28</v>
      </c>
      <c r="C15" s="56"/>
      <c r="D15" s="56"/>
      <c r="E15" s="76"/>
      <c r="F15" s="76"/>
      <c r="G15" s="76"/>
      <c r="H15" s="76"/>
      <c r="I15" s="76"/>
      <c r="J15" s="76"/>
      <c r="K15" s="76"/>
      <c r="L15" s="76"/>
      <c r="M15" s="56"/>
      <c r="N15" s="56"/>
      <c r="O15" s="56"/>
      <c r="P15" s="56"/>
      <c r="Q15" s="56"/>
    </row>
    <row r="16" spans="1:17" ht="25.5" x14ac:dyDescent="0.2">
      <c r="A16" s="69" t="s">
        <v>106</v>
      </c>
      <c r="B16" s="56">
        <v>1054.8937004120207</v>
      </c>
      <c r="C16" s="56">
        <f>B16*C4</f>
        <v>6329.3622024721244</v>
      </c>
      <c r="D16" s="56">
        <f t="shared" ref="D16:Q19" si="4">C16*$C$6+C16</f>
        <v>6550.8898795586483</v>
      </c>
      <c r="E16" s="56">
        <f t="shared" si="4"/>
        <v>6780.1710253432011</v>
      </c>
      <c r="F16" s="56">
        <f t="shared" si="4"/>
        <v>7017.4770112302131</v>
      </c>
      <c r="G16" s="56">
        <f t="shared" si="4"/>
        <v>7263.0887066232708</v>
      </c>
      <c r="H16" s="56">
        <f t="shared" si="4"/>
        <v>7517.2968113550851</v>
      </c>
      <c r="I16" s="56">
        <f t="shared" si="4"/>
        <v>7780.4021997525133</v>
      </c>
      <c r="J16" s="56">
        <f t="shared" si="4"/>
        <v>8052.7162767438513</v>
      </c>
      <c r="K16" s="56">
        <f t="shared" si="4"/>
        <v>8334.5613464298858</v>
      </c>
      <c r="L16" s="56">
        <f t="shared" si="4"/>
        <v>8626.2709935549319</v>
      </c>
      <c r="M16" s="56">
        <f t="shared" si="4"/>
        <v>8928.1904783293539</v>
      </c>
      <c r="N16" s="56">
        <f t="shared" si="4"/>
        <v>9240.677145070882</v>
      </c>
      <c r="O16" s="56">
        <f t="shared" si="4"/>
        <v>9564.1008451483631</v>
      </c>
      <c r="P16" s="56">
        <f t="shared" si="4"/>
        <v>9898.8443747285564</v>
      </c>
      <c r="Q16" s="56">
        <f t="shared" si="4"/>
        <v>10245.303927844056</v>
      </c>
    </row>
    <row r="17" spans="1:18" x14ac:dyDescent="0.2">
      <c r="A17" s="55" t="s">
        <v>33</v>
      </c>
      <c r="B17" s="55">
        <v>950</v>
      </c>
      <c r="C17" s="56">
        <f>B17*C4</f>
        <v>5700</v>
      </c>
      <c r="D17" s="56">
        <f t="shared" si="4"/>
        <v>5899.5</v>
      </c>
      <c r="E17" s="56">
        <f t="shared" si="4"/>
        <v>6105.9825000000001</v>
      </c>
      <c r="F17" s="56">
        <f t="shared" si="4"/>
        <v>6319.6918875000001</v>
      </c>
      <c r="G17" s="56">
        <f t="shared" si="4"/>
        <v>6540.8811035625004</v>
      </c>
      <c r="H17" s="56">
        <f t="shared" si="4"/>
        <v>6769.8119421871879</v>
      </c>
      <c r="I17" s="56">
        <f t="shared" si="4"/>
        <v>7006.7553601637392</v>
      </c>
      <c r="J17" s="56">
        <f t="shared" si="4"/>
        <v>7251.9917977694704</v>
      </c>
      <c r="K17" s="56">
        <f t="shared" si="4"/>
        <v>7505.811510691402</v>
      </c>
      <c r="L17" s="56">
        <f t="shared" si="4"/>
        <v>7768.5149135656011</v>
      </c>
      <c r="M17" s="56">
        <f t="shared" si="4"/>
        <v>8040.4129355403975</v>
      </c>
      <c r="N17" s="56">
        <f t="shared" si="4"/>
        <v>8321.8273882843114</v>
      </c>
      <c r="O17" s="56">
        <f t="shared" si="4"/>
        <v>8613.0913468742619</v>
      </c>
      <c r="P17" s="56">
        <f t="shared" si="4"/>
        <v>8914.5495440148607</v>
      </c>
      <c r="Q17" s="56">
        <f t="shared" si="4"/>
        <v>9226.5587780553815</v>
      </c>
    </row>
    <row r="18" spans="1:18" x14ac:dyDescent="0.2">
      <c r="A18" s="55" t="s">
        <v>180</v>
      </c>
      <c r="B18" s="55">
        <v>650</v>
      </c>
      <c r="C18" s="56">
        <f>B18*C4</f>
        <v>3900</v>
      </c>
      <c r="D18" s="56">
        <f t="shared" si="4"/>
        <v>4036.5</v>
      </c>
      <c r="E18" s="56">
        <f t="shared" si="4"/>
        <v>4177.7775000000001</v>
      </c>
      <c r="F18" s="56">
        <f t="shared" si="4"/>
        <v>4323.9997125</v>
      </c>
      <c r="G18" s="56">
        <f t="shared" si="4"/>
        <v>4475.3397024374999</v>
      </c>
      <c r="H18" s="56">
        <f t="shared" si="4"/>
        <v>4631.9765920228128</v>
      </c>
      <c r="I18" s="56">
        <f t="shared" si="4"/>
        <v>4794.0957727436116</v>
      </c>
      <c r="J18" s="56">
        <f t="shared" si="4"/>
        <v>4961.8891247896381</v>
      </c>
      <c r="K18" s="56">
        <f t="shared" si="4"/>
        <v>5135.5552441572754</v>
      </c>
      <c r="L18" s="56">
        <f t="shared" si="4"/>
        <v>5315.2996777027802</v>
      </c>
      <c r="M18" s="56">
        <f t="shared" si="4"/>
        <v>5501.3351664223774</v>
      </c>
      <c r="N18" s="56">
        <f t="shared" si="4"/>
        <v>5693.8818972471609</v>
      </c>
      <c r="O18" s="56">
        <f t="shared" si="4"/>
        <v>5893.1677636508111</v>
      </c>
      <c r="P18" s="56">
        <f t="shared" si="4"/>
        <v>6099.4286353785892</v>
      </c>
      <c r="Q18" s="56">
        <f t="shared" si="4"/>
        <v>6312.9086376168398</v>
      </c>
    </row>
    <row r="19" spans="1:18" x14ac:dyDescent="0.2">
      <c r="A19" s="69" t="s">
        <v>181</v>
      </c>
      <c r="B19" s="89">
        <v>800</v>
      </c>
      <c r="C19" s="56">
        <f>B19*C4</f>
        <v>4800</v>
      </c>
      <c r="D19" s="56">
        <f t="shared" si="4"/>
        <v>4968</v>
      </c>
      <c r="E19" s="56">
        <f t="shared" si="4"/>
        <v>5141.88</v>
      </c>
      <c r="F19" s="56">
        <f t="shared" si="4"/>
        <v>5321.8458000000001</v>
      </c>
      <c r="G19" s="56">
        <f t="shared" si="4"/>
        <v>5508.1104029999997</v>
      </c>
      <c r="H19" s="56">
        <f t="shared" si="4"/>
        <v>5700.8942671049999</v>
      </c>
      <c r="I19" s="56">
        <f t="shared" si="4"/>
        <v>5900.4255664536749</v>
      </c>
      <c r="J19" s="56">
        <f t="shared" si="4"/>
        <v>6106.9404612795533</v>
      </c>
      <c r="K19" s="56">
        <f t="shared" si="4"/>
        <v>6320.6833774243378</v>
      </c>
      <c r="L19" s="56">
        <f t="shared" si="4"/>
        <v>6541.9072956341897</v>
      </c>
      <c r="M19" s="56">
        <f t="shared" si="4"/>
        <v>6770.8740509813861</v>
      </c>
      <c r="N19" s="56">
        <f t="shared" si="4"/>
        <v>7007.8546427657348</v>
      </c>
      <c r="O19" s="56">
        <f t="shared" si="4"/>
        <v>7253.1295552625352</v>
      </c>
      <c r="P19" s="56">
        <f t="shared" si="4"/>
        <v>7506.9890896967236</v>
      </c>
      <c r="Q19" s="56">
        <f t="shared" si="4"/>
        <v>7769.7337078361088</v>
      </c>
    </row>
    <row r="20" spans="1:18" x14ac:dyDescent="0.2">
      <c r="A20" s="55" t="s">
        <v>107</v>
      </c>
      <c r="B20" s="103">
        <v>0.1</v>
      </c>
      <c r="C20" s="56">
        <f>B20*C12</f>
        <v>4787.9999999999991</v>
      </c>
      <c r="D20" s="56">
        <f t="shared" ref="D20:Q20" si="5">$B$20*D12</f>
        <v>4931.6399999999994</v>
      </c>
      <c r="E20" s="56">
        <f t="shared" si="5"/>
        <v>5079.5891999999985</v>
      </c>
      <c r="F20" s="56">
        <f t="shared" si="5"/>
        <v>5231.9768759999988</v>
      </c>
      <c r="G20" s="56">
        <f t="shared" si="5"/>
        <v>5388.9361822799983</v>
      </c>
      <c r="H20" s="56">
        <f t="shared" si="5"/>
        <v>5550.6042677483983</v>
      </c>
      <c r="I20" s="56">
        <f t="shared" si="5"/>
        <v>5717.1223957808506</v>
      </c>
      <c r="J20" s="56">
        <f t="shared" si="5"/>
        <v>5888.6360676542754</v>
      </c>
      <c r="K20" s="56">
        <f t="shared" si="5"/>
        <v>6065.2951496839032</v>
      </c>
      <c r="L20" s="56">
        <f t="shared" si="5"/>
        <v>6247.2540041744205</v>
      </c>
      <c r="M20" s="56" t="e">
        <f t="shared" si="5"/>
        <v>#REF!</v>
      </c>
      <c r="N20" s="56" t="e">
        <f t="shared" si="5"/>
        <v>#REF!</v>
      </c>
      <c r="O20" s="56" t="e">
        <f t="shared" si="5"/>
        <v>#REF!</v>
      </c>
      <c r="P20" s="56" t="e">
        <f t="shared" si="5"/>
        <v>#REF!</v>
      </c>
      <c r="Q20" s="56" t="e">
        <f t="shared" si="5"/>
        <v>#REF!</v>
      </c>
      <c r="R20" s="56">
        <f>$B$20*R2</f>
        <v>0</v>
      </c>
    </row>
    <row r="21" spans="1:18" x14ac:dyDescent="0.2">
      <c r="A21" s="55" t="s">
        <v>182</v>
      </c>
      <c r="B21" s="61">
        <v>900</v>
      </c>
      <c r="C21" s="56">
        <f>B21*C4</f>
        <v>5400</v>
      </c>
      <c r="D21" s="56">
        <f t="shared" ref="D21:Q24" si="6">C21*$C$6+C21</f>
        <v>5589</v>
      </c>
      <c r="E21" s="56">
        <f t="shared" si="6"/>
        <v>5784.6149999999998</v>
      </c>
      <c r="F21" s="56">
        <f t="shared" si="6"/>
        <v>5987.0765249999995</v>
      </c>
      <c r="G21" s="56">
        <f t="shared" si="6"/>
        <v>6196.6242033749995</v>
      </c>
      <c r="H21" s="56">
        <f t="shared" si="6"/>
        <v>6413.5060504931243</v>
      </c>
      <c r="I21" s="56">
        <f t="shared" si="6"/>
        <v>6637.9787622603835</v>
      </c>
      <c r="J21" s="56">
        <f t="shared" si="6"/>
        <v>6870.3080189394968</v>
      </c>
      <c r="K21" s="56">
        <f t="shared" si="6"/>
        <v>7110.7687996023797</v>
      </c>
      <c r="L21" s="56">
        <f t="shared" si="6"/>
        <v>7359.6457075884628</v>
      </c>
      <c r="M21" s="56">
        <f t="shared" si="6"/>
        <v>7617.2333073540594</v>
      </c>
      <c r="N21" s="56">
        <f t="shared" si="6"/>
        <v>7883.8364731114516</v>
      </c>
      <c r="O21" s="56">
        <f t="shared" si="6"/>
        <v>8159.7707496703524</v>
      </c>
      <c r="P21" s="56">
        <f t="shared" si="6"/>
        <v>8445.3627259088153</v>
      </c>
      <c r="Q21" s="56">
        <f t="shared" si="6"/>
        <v>8740.9504213156233</v>
      </c>
    </row>
    <row r="22" spans="1:18" x14ac:dyDescent="0.2">
      <c r="A22" s="55" t="s">
        <v>183</v>
      </c>
      <c r="B22" s="89">
        <v>750</v>
      </c>
      <c r="C22" s="56">
        <f>B22*C4</f>
        <v>4500</v>
      </c>
      <c r="D22" s="56">
        <f t="shared" si="6"/>
        <v>4657.5</v>
      </c>
      <c r="E22" s="56">
        <f t="shared" si="6"/>
        <v>4820.5124999999998</v>
      </c>
      <c r="F22" s="56">
        <f t="shared" si="6"/>
        <v>4989.2304374999994</v>
      </c>
      <c r="G22" s="56">
        <f t="shared" si="6"/>
        <v>5163.8535028124998</v>
      </c>
      <c r="H22" s="56">
        <f t="shared" si="6"/>
        <v>5344.5883754109373</v>
      </c>
      <c r="I22" s="56">
        <f t="shared" si="6"/>
        <v>5531.6489685503202</v>
      </c>
      <c r="J22" s="56">
        <f t="shared" si="6"/>
        <v>5725.2566824495816</v>
      </c>
      <c r="K22" s="56">
        <f t="shared" si="6"/>
        <v>5925.6406663353173</v>
      </c>
      <c r="L22" s="56">
        <f t="shared" si="6"/>
        <v>6133.0380896570532</v>
      </c>
      <c r="M22" s="76">
        <f t="shared" si="6"/>
        <v>6347.6944227950498</v>
      </c>
      <c r="N22" s="76">
        <f t="shared" si="6"/>
        <v>6569.8637275928768</v>
      </c>
      <c r="O22" s="76">
        <f t="shared" si="6"/>
        <v>6799.8089580586275</v>
      </c>
      <c r="P22" s="76">
        <f t="shared" si="6"/>
        <v>7037.8022715906791</v>
      </c>
      <c r="Q22" s="76">
        <f t="shared" si="6"/>
        <v>7284.1253510963525</v>
      </c>
    </row>
    <row r="23" spans="1:18" x14ac:dyDescent="0.2">
      <c r="A23" s="55" t="s">
        <v>36</v>
      </c>
      <c r="B23" s="89">
        <v>550</v>
      </c>
      <c r="C23" s="56">
        <f>B23*C4</f>
        <v>3300</v>
      </c>
      <c r="D23" s="56">
        <f t="shared" si="6"/>
        <v>3415.5</v>
      </c>
      <c r="E23" s="56">
        <f t="shared" si="6"/>
        <v>3535.0425</v>
      </c>
      <c r="F23" s="56">
        <f t="shared" si="6"/>
        <v>3658.7689875000001</v>
      </c>
      <c r="G23" s="56">
        <f t="shared" si="6"/>
        <v>3786.8259020625001</v>
      </c>
      <c r="H23" s="56">
        <f t="shared" si="6"/>
        <v>3919.3648086346875</v>
      </c>
      <c r="I23" s="56">
        <f t="shared" si="6"/>
        <v>4056.5425769369017</v>
      </c>
      <c r="J23" s="56">
        <f t="shared" si="6"/>
        <v>4198.5215671296937</v>
      </c>
      <c r="K23" s="56">
        <f t="shared" si="6"/>
        <v>4345.4698219792326</v>
      </c>
      <c r="L23" s="56">
        <f t="shared" si="6"/>
        <v>4497.5612657485053</v>
      </c>
      <c r="M23" s="56">
        <f t="shared" ref="M23:Q23" si="7">L23*$C$5+L23</f>
        <v>4632.4881037209607</v>
      </c>
      <c r="N23" s="56">
        <f t="shared" si="7"/>
        <v>4771.4627468325898</v>
      </c>
      <c r="O23" s="56">
        <f t="shared" si="7"/>
        <v>4914.6066292375672</v>
      </c>
      <c r="P23" s="56">
        <f t="shared" si="7"/>
        <v>5062.0448281146946</v>
      </c>
      <c r="Q23" s="56">
        <f t="shared" si="7"/>
        <v>5213.9061729581354</v>
      </c>
    </row>
    <row r="24" spans="1:18" ht="13.5" thickBot="1" x14ac:dyDescent="0.25">
      <c r="A24" s="55" t="s">
        <v>34</v>
      </c>
      <c r="B24" s="89">
        <v>350</v>
      </c>
      <c r="C24" s="56">
        <f>B24*C4</f>
        <v>2100</v>
      </c>
      <c r="D24" s="56">
        <f t="shared" si="6"/>
        <v>2173.5</v>
      </c>
      <c r="E24" s="56">
        <f t="shared" si="6"/>
        <v>2249.5725000000002</v>
      </c>
      <c r="F24" s="56">
        <f t="shared" si="6"/>
        <v>2328.3075375000003</v>
      </c>
      <c r="G24" s="56">
        <f t="shared" si="6"/>
        <v>2409.7983013125004</v>
      </c>
      <c r="H24" s="56">
        <f t="shared" si="6"/>
        <v>2494.1412418584378</v>
      </c>
      <c r="I24" s="56">
        <f t="shared" si="6"/>
        <v>2581.4361853234832</v>
      </c>
      <c r="J24" s="56">
        <f t="shared" si="6"/>
        <v>2671.7864518098049</v>
      </c>
      <c r="K24" s="56">
        <f t="shared" si="6"/>
        <v>2765.2989776231479</v>
      </c>
      <c r="L24" s="56">
        <f t="shared" si="6"/>
        <v>2862.0844418399583</v>
      </c>
      <c r="M24" s="56">
        <f>B24*C4</f>
        <v>2100</v>
      </c>
      <c r="N24" s="56">
        <f>B24*C4</f>
        <v>2100</v>
      </c>
      <c r="O24" s="56">
        <f>B24*C4</f>
        <v>2100</v>
      </c>
      <c r="P24" s="56">
        <f>B24*C4</f>
        <v>2100</v>
      </c>
      <c r="Q24" s="56">
        <f>B24*C4</f>
        <v>2100</v>
      </c>
    </row>
    <row r="25" spans="1:18" s="64" customFormat="1" ht="13.5" thickBot="1" x14ac:dyDescent="0.25">
      <c r="A25" s="64" t="s">
        <v>35</v>
      </c>
      <c r="B25" s="57">
        <f>C25/C4</f>
        <v>6802.8937004120207</v>
      </c>
      <c r="C25" s="114">
        <f t="shared" ref="C25:Q25" si="8">SUM(C16:C24)</f>
        <v>40817.362202472126</v>
      </c>
      <c r="D25" s="114">
        <f t="shared" si="8"/>
        <v>42222.02987955865</v>
      </c>
      <c r="E25" s="114">
        <f t="shared" si="8"/>
        <v>43675.142725343205</v>
      </c>
      <c r="F25" s="114">
        <f t="shared" si="8"/>
        <v>45178.374774730204</v>
      </c>
      <c r="G25" s="114">
        <f t="shared" si="8"/>
        <v>46733.458007465764</v>
      </c>
      <c r="H25" s="114">
        <f t="shared" si="8"/>
        <v>48342.184356815669</v>
      </c>
      <c r="I25" s="114">
        <f t="shared" si="8"/>
        <v>50006.407787965472</v>
      </c>
      <c r="J25" s="114">
        <f t="shared" si="8"/>
        <v>51728.046448565365</v>
      </c>
      <c r="K25" s="114">
        <f t="shared" si="8"/>
        <v>53509.084893926891</v>
      </c>
      <c r="L25" s="114">
        <f t="shared" si="8"/>
        <v>55351.576389465896</v>
      </c>
      <c r="M25" s="57" t="e">
        <f t="shared" si="8"/>
        <v>#REF!</v>
      </c>
      <c r="N25" s="57" t="e">
        <f t="shared" si="8"/>
        <v>#REF!</v>
      </c>
      <c r="O25" s="57" t="e">
        <f t="shared" si="8"/>
        <v>#REF!</v>
      </c>
      <c r="P25" s="57" t="e">
        <f t="shared" si="8"/>
        <v>#REF!</v>
      </c>
      <c r="Q25" s="57" t="e">
        <f t="shared" si="8"/>
        <v>#REF!</v>
      </c>
    </row>
    <row r="26" spans="1:18" x14ac:dyDescent="0.2"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</row>
    <row r="27" spans="1:18" s="91" customFormat="1" x14ac:dyDescent="0.2">
      <c r="A27" s="90" t="s">
        <v>72</v>
      </c>
      <c r="C27" s="177">
        <f t="shared" ref="C27:Q27" si="9">C12-C25</f>
        <v>7062.6377975278592</v>
      </c>
      <c r="D27" s="56">
        <f t="shared" si="9"/>
        <v>7094.3701204413373</v>
      </c>
      <c r="E27" s="56">
        <f t="shared" si="9"/>
        <v>7120.7492746567805</v>
      </c>
      <c r="F27" s="56">
        <f t="shared" si="9"/>
        <v>7141.3939852697804</v>
      </c>
      <c r="G27" s="56">
        <f t="shared" si="9"/>
        <v>7155.903815334219</v>
      </c>
      <c r="H27" s="56">
        <f t="shared" si="9"/>
        <v>7163.8583206683106</v>
      </c>
      <c r="I27" s="56">
        <f t="shared" si="9"/>
        <v>7164.8161698430267</v>
      </c>
      <c r="J27" s="56">
        <f t="shared" si="9"/>
        <v>7158.314227977382</v>
      </c>
      <c r="K27" s="56">
        <f t="shared" si="9"/>
        <v>7143.8666029121378</v>
      </c>
      <c r="L27" s="56">
        <f t="shared" si="9"/>
        <v>7120.9636522783039</v>
      </c>
      <c r="M27" s="56" t="e">
        <f t="shared" si="9"/>
        <v>#REF!</v>
      </c>
      <c r="N27" s="56" t="e">
        <f t="shared" si="9"/>
        <v>#REF!</v>
      </c>
      <c r="O27" s="56" t="e">
        <f t="shared" si="9"/>
        <v>#REF!</v>
      </c>
      <c r="P27" s="56" t="e">
        <f t="shared" si="9"/>
        <v>#REF!</v>
      </c>
      <c r="Q27" s="56" t="e">
        <f t="shared" si="9"/>
        <v>#REF!</v>
      </c>
    </row>
    <row r="28" spans="1:18" s="91" customFormat="1" x14ac:dyDescent="0.2">
      <c r="A28" s="92" t="s">
        <v>195</v>
      </c>
      <c r="B28" s="93"/>
      <c r="C28" s="57">
        <f>C27/C29</f>
        <v>5885.5314979398827</v>
      </c>
      <c r="D28" s="57">
        <f>C28</f>
        <v>5885.5314979398827</v>
      </c>
      <c r="E28" s="57">
        <f>+D28</f>
        <v>5885.5314979398827</v>
      </c>
      <c r="F28" s="57">
        <f t="shared" ref="F28:Q28" si="10">+E28</f>
        <v>5885.5314979398827</v>
      </c>
      <c r="G28" s="57">
        <f t="shared" si="10"/>
        <v>5885.5314979398827</v>
      </c>
      <c r="H28" s="57">
        <f t="shared" si="10"/>
        <v>5885.5314979398827</v>
      </c>
      <c r="I28" s="57">
        <f t="shared" si="10"/>
        <v>5885.5314979398827</v>
      </c>
      <c r="J28" s="57">
        <f t="shared" si="10"/>
        <v>5885.5314979398827</v>
      </c>
      <c r="K28" s="57">
        <f t="shared" si="10"/>
        <v>5885.5314979398827</v>
      </c>
      <c r="L28" s="57">
        <f t="shared" si="10"/>
        <v>5885.5314979398827</v>
      </c>
      <c r="M28" s="57">
        <f t="shared" si="10"/>
        <v>5885.5314979398827</v>
      </c>
      <c r="N28" s="57">
        <f t="shared" si="10"/>
        <v>5885.5314979398827</v>
      </c>
      <c r="O28" s="57">
        <f t="shared" si="10"/>
        <v>5885.5314979398827</v>
      </c>
      <c r="P28" s="57">
        <f t="shared" si="10"/>
        <v>5885.5314979398827</v>
      </c>
      <c r="Q28" s="57">
        <f t="shared" si="10"/>
        <v>5885.5314979398827</v>
      </c>
    </row>
    <row r="29" spans="1:18" s="117" customFormat="1" x14ac:dyDescent="0.2">
      <c r="A29" s="116" t="s">
        <v>73</v>
      </c>
      <c r="C29" s="118">
        <v>1.2</v>
      </c>
      <c r="D29" s="118">
        <f>D27/D28</f>
        <v>1.2053915815291423</v>
      </c>
      <c r="E29" s="118">
        <f t="shared" ref="E29:Q29" si="11">E27/E28</f>
        <v>1.2098736158576777</v>
      </c>
      <c r="F29" s="118">
        <f t="shared" si="11"/>
        <v>1.2133813212569653</v>
      </c>
      <c r="G29" s="118">
        <f t="shared" si="11"/>
        <v>1.2158466602105529</v>
      </c>
      <c r="H29" s="118">
        <f t="shared" si="11"/>
        <v>1.2171981958088036</v>
      </c>
      <c r="I29" s="118">
        <f t="shared" si="11"/>
        <v>1.2173609422277212</v>
      </c>
      <c r="J29" s="118">
        <f t="shared" si="11"/>
        <v>1.2162562090582665</v>
      </c>
      <c r="K29" s="118">
        <f t="shared" si="11"/>
        <v>1.2138014392434584</v>
      </c>
      <c r="L29" s="118">
        <f t="shared" si="11"/>
        <v>1.2099100403711815</v>
      </c>
      <c r="M29" s="118" t="e">
        <f t="shared" si="11"/>
        <v>#REF!</v>
      </c>
      <c r="N29" s="118" t="e">
        <f t="shared" si="11"/>
        <v>#REF!</v>
      </c>
      <c r="O29" s="118" t="e">
        <f t="shared" si="11"/>
        <v>#REF!</v>
      </c>
      <c r="P29" s="118" t="e">
        <f t="shared" si="11"/>
        <v>#REF!</v>
      </c>
      <c r="Q29" s="118" t="e">
        <f t="shared" si="11"/>
        <v>#REF!</v>
      </c>
    </row>
    <row r="30" spans="1:18" s="91" customFormat="1" x14ac:dyDescent="0.2">
      <c r="A30" s="92" t="s">
        <v>74</v>
      </c>
      <c r="B30" s="93"/>
      <c r="C30" s="57">
        <f>C27-C28</f>
        <v>1177.1062995879765</v>
      </c>
      <c r="D30" s="57">
        <f t="shared" ref="D30:Q30" si="12">D27-D28</f>
        <v>1208.8386225014547</v>
      </c>
      <c r="E30" s="57">
        <f t="shared" si="12"/>
        <v>1235.2177767168978</v>
      </c>
      <c r="F30" s="57">
        <f t="shared" si="12"/>
        <v>1255.8624873298977</v>
      </c>
      <c r="G30" s="57">
        <f t="shared" si="12"/>
        <v>1270.3723173943363</v>
      </c>
      <c r="H30" s="57">
        <f t="shared" si="12"/>
        <v>1278.3268227284279</v>
      </c>
      <c r="I30" s="57">
        <f t="shared" si="12"/>
        <v>1279.284671903144</v>
      </c>
      <c r="J30" s="57">
        <f t="shared" si="12"/>
        <v>1272.7827300374993</v>
      </c>
      <c r="K30" s="57">
        <f t="shared" si="12"/>
        <v>1258.3351049722551</v>
      </c>
      <c r="L30" s="57">
        <f t="shared" si="12"/>
        <v>1235.4321543384212</v>
      </c>
      <c r="M30" s="57" t="e">
        <f t="shared" si="12"/>
        <v>#REF!</v>
      </c>
      <c r="N30" s="57" t="e">
        <f t="shared" si="12"/>
        <v>#REF!</v>
      </c>
      <c r="O30" s="57" t="e">
        <f t="shared" si="12"/>
        <v>#REF!</v>
      </c>
      <c r="P30" s="57" t="e">
        <f t="shared" si="12"/>
        <v>#REF!</v>
      </c>
      <c r="Q30" s="57" t="e">
        <f t="shared" si="12"/>
        <v>#REF!</v>
      </c>
    </row>
    <row r="32" spans="1:18" x14ac:dyDescent="0.2">
      <c r="A32" s="64" t="s">
        <v>246</v>
      </c>
    </row>
    <row r="33" spans="1:7" s="91" customFormat="1" x14ac:dyDescent="0.2">
      <c r="A33" s="94"/>
      <c r="B33" s="90"/>
      <c r="C33" s="94" t="s">
        <v>115</v>
      </c>
      <c r="D33" s="95" t="s">
        <v>247</v>
      </c>
      <c r="E33" s="95"/>
      <c r="F33" s="95"/>
      <c r="G33" s="95"/>
    </row>
    <row r="34" spans="1:7" x14ac:dyDescent="0.2">
      <c r="A34" s="55" t="s">
        <v>92</v>
      </c>
      <c r="C34" s="103">
        <v>7.4999999999999997E-2</v>
      </c>
      <c r="D34" s="71">
        <f>C34/12</f>
        <v>6.2499999999999995E-3</v>
      </c>
    </row>
    <row r="35" spans="1:7" x14ac:dyDescent="0.2">
      <c r="A35" s="55" t="s">
        <v>93</v>
      </c>
      <c r="C35" s="55">
        <v>20</v>
      </c>
      <c r="D35" s="55">
        <f>C35*12</f>
        <v>240</v>
      </c>
    </row>
    <row r="36" spans="1:7" x14ac:dyDescent="0.2">
      <c r="A36" s="55" t="s">
        <v>68</v>
      </c>
      <c r="C36" s="72">
        <f>+C28</f>
        <v>5885.5314979398827</v>
      </c>
      <c r="D36" s="73">
        <f>C36/12</f>
        <v>490.46095816165689</v>
      </c>
    </row>
    <row r="37" spans="1:7" ht="13.5" thickBot="1" x14ac:dyDescent="0.25">
      <c r="C37" s="113"/>
      <c r="D37" s="106"/>
    </row>
    <row r="38" spans="1:7" ht="13.5" thickBot="1" x14ac:dyDescent="0.25">
      <c r="C38" s="55" t="s">
        <v>192</v>
      </c>
      <c r="D38" s="175">
        <f>-PV(C34,C35,C28)</f>
        <v>59999.999999999971</v>
      </c>
      <c r="E38" s="64"/>
      <c r="F38" s="64"/>
    </row>
  </sheetData>
  <pageMargins left="0.7" right="0.7" top="0.75" bottom="0.75" header="0.3" footer="0.3"/>
  <pageSetup scale="50" orientation="landscape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workbookViewId="0">
      <selection activeCell="J20" sqref="J20"/>
    </sheetView>
  </sheetViews>
  <sheetFormatPr defaultRowHeight="12.75" x14ac:dyDescent="0.2"/>
  <cols>
    <col min="1" max="1" width="21.7109375" bestFit="1" customWidth="1"/>
    <col min="2" max="2" width="14.140625" bestFit="1" customWidth="1"/>
    <col min="3" max="3" width="14" bestFit="1" customWidth="1"/>
    <col min="4" max="4" width="14.140625" style="1" bestFit="1" customWidth="1"/>
    <col min="6" max="6" width="12.28515625" bestFit="1" customWidth="1"/>
    <col min="10" max="10" width="14" bestFit="1" customWidth="1"/>
    <col min="12" max="12" width="14" bestFit="1" customWidth="1"/>
  </cols>
  <sheetData>
    <row r="1" spans="1:11" x14ac:dyDescent="0.2">
      <c r="B1" t="s">
        <v>336</v>
      </c>
      <c r="C1" t="s">
        <v>335</v>
      </c>
      <c r="D1" s="1" t="s">
        <v>19</v>
      </c>
      <c r="E1" t="s">
        <v>337</v>
      </c>
      <c r="F1" t="s">
        <v>338</v>
      </c>
    </row>
    <row r="2" spans="1:11" x14ac:dyDescent="0.2">
      <c r="A2" t="s">
        <v>334</v>
      </c>
      <c r="B2" s="232">
        <f>+'bostwick dev budget'!E60</f>
        <v>1625380.2968122701</v>
      </c>
      <c r="C2" s="232">
        <f>+'Development Budget'!E73</f>
        <v>1191363.6363636362</v>
      </c>
      <c r="D2" s="235">
        <f>C2+B2</f>
        <v>2816743.9331759065</v>
      </c>
      <c r="E2" s="233">
        <v>600000</v>
      </c>
      <c r="F2" s="232">
        <f>D2-E2</f>
        <v>2216743.9331759065</v>
      </c>
      <c r="J2" s="234">
        <f>D2/2</f>
        <v>1408371.9665879533</v>
      </c>
    </row>
    <row r="6" spans="1:11" x14ac:dyDescent="0.2">
      <c r="E6" s="52" t="s">
        <v>340</v>
      </c>
      <c r="F6" s="52" t="s">
        <v>114</v>
      </c>
    </row>
    <row r="7" spans="1:11" x14ac:dyDescent="0.2">
      <c r="E7" s="52">
        <f>+'bostwick dev budget'!B7+'Development Budget'!B7</f>
        <v>9837.0000000000018</v>
      </c>
      <c r="F7" s="52">
        <f>'bostwick dev budget'!B6+'Development Budget'!B6</f>
        <v>10</v>
      </c>
    </row>
    <row r="8" spans="1:11" x14ac:dyDescent="0.2">
      <c r="A8" t="s">
        <v>339</v>
      </c>
      <c r="B8" s="78">
        <f>+'bostwick dev budget'!E12</f>
        <v>188500</v>
      </c>
      <c r="C8" s="78">
        <f>+'Development Budget'!E12</f>
        <v>75000</v>
      </c>
      <c r="D8" s="70">
        <f>C8+B8</f>
        <v>263500</v>
      </c>
      <c r="E8" s="234">
        <f>D8/E7</f>
        <v>26.786621937582591</v>
      </c>
      <c r="F8" s="234">
        <f>D8/F7</f>
        <v>26350</v>
      </c>
      <c r="J8" s="234">
        <f>D8</f>
        <v>263500</v>
      </c>
    </row>
    <row r="9" spans="1:11" x14ac:dyDescent="0.2">
      <c r="A9" t="s">
        <v>191</v>
      </c>
      <c r="B9" s="78">
        <f>+'bostwick dev budget'!E23</f>
        <v>1047199.9999999999</v>
      </c>
      <c r="C9" s="78">
        <f>+'Development Budget'!E24</f>
        <v>775305.54391156451</v>
      </c>
      <c r="D9" s="70">
        <f>C9+B9</f>
        <v>1822505.5439115644</v>
      </c>
      <c r="E9" s="234">
        <f>D9/E7</f>
        <v>185.27046293703</v>
      </c>
      <c r="F9" s="234">
        <f>D9/F7</f>
        <v>182250.55439115645</v>
      </c>
    </row>
    <row r="10" spans="1:11" x14ac:dyDescent="0.2">
      <c r="A10" t="s">
        <v>10</v>
      </c>
      <c r="B10" s="232">
        <f>+'bostwick dev budget'!E35</f>
        <v>104500</v>
      </c>
      <c r="C10" s="232">
        <f>+'Development Budget'!E36</f>
        <v>102000</v>
      </c>
      <c r="D10" s="235">
        <f>C10+B10</f>
        <v>206500</v>
      </c>
      <c r="E10" s="234">
        <f>D10/E7</f>
        <v>20.992172410287687</v>
      </c>
      <c r="F10" s="234">
        <f>D10/F7</f>
        <v>20650</v>
      </c>
      <c r="J10" s="232">
        <f>+D10</f>
        <v>206500</v>
      </c>
    </row>
    <row r="11" spans="1:11" x14ac:dyDescent="0.2">
      <c r="A11" t="s">
        <v>11</v>
      </c>
      <c r="B11" s="232">
        <f>+'bostwick dev budget'!E53</f>
        <v>126500</v>
      </c>
      <c r="C11" s="232">
        <f>+'Development Budget'!E54</f>
        <v>124000</v>
      </c>
      <c r="D11" s="362">
        <f>SUM(B11:C11)</f>
        <v>250500</v>
      </c>
      <c r="J11" s="234">
        <f>D11*0.5</f>
        <v>125250</v>
      </c>
    </row>
    <row r="12" spans="1:11" x14ac:dyDescent="0.2">
      <c r="A12" t="s">
        <v>403</v>
      </c>
      <c r="B12" s="232">
        <f>+'bostwick dev budget'!E58</f>
        <v>146670</v>
      </c>
      <c r="C12" s="232">
        <f>+'Development Budget'!E59</f>
        <v>107630.55439115647</v>
      </c>
      <c r="D12" s="235">
        <f>SUM(B12:C12)</f>
        <v>254300.55439115647</v>
      </c>
      <c r="I12" s="363"/>
      <c r="J12" s="362">
        <f>SUM(J8:J11)</f>
        <v>595250</v>
      </c>
      <c r="K12">
        <f>J12/D2</f>
        <v>0.21132556388569185</v>
      </c>
    </row>
    <row r="13" spans="1:11" x14ac:dyDescent="0.2">
      <c r="A13" t="s">
        <v>404</v>
      </c>
      <c r="B13" s="232">
        <f>+'bostwick dev budget'!E59</f>
        <v>12010.296812270142</v>
      </c>
      <c r="C13" s="232">
        <f>+'Development Budget'!E60</f>
        <v>7427.5380609151671</v>
      </c>
      <c r="D13" s="235">
        <f>SUM(B13:C13)</f>
        <v>19437.834873185311</v>
      </c>
    </row>
    <row r="14" spans="1:11" x14ac:dyDescent="0.2">
      <c r="D14" s="362">
        <f>SUM(D8:D13)</f>
        <v>2816743.9331759061</v>
      </c>
    </row>
    <row r="15" spans="1:11" x14ac:dyDescent="0.2">
      <c r="J15" s="234">
        <f>D9/11</f>
        <v>165682.32217377858</v>
      </c>
    </row>
    <row r="16" spans="1:11" x14ac:dyDescent="0.2">
      <c r="B16" t="s">
        <v>413</v>
      </c>
      <c r="C16" t="s">
        <v>414</v>
      </c>
      <c r="D16" s="1" t="s">
        <v>415</v>
      </c>
      <c r="J16" s="234">
        <f>+J15</f>
        <v>165682.32217377858</v>
      </c>
    </row>
    <row r="17" spans="1:12" x14ac:dyDescent="0.2">
      <c r="A17" s="322" t="s">
        <v>410</v>
      </c>
      <c r="B17" s="232">
        <f>+'bostwick dev budget'!E70</f>
        <v>1050000</v>
      </c>
      <c r="C17" s="232">
        <f>+'Development Budget'!E70</f>
        <v>900000</v>
      </c>
      <c r="D17" s="235">
        <f>C17+B17</f>
        <v>1950000</v>
      </c>
      <c r="J17" s="234">
        <f>+J16</f>
        <v>165682.32217377858</v>
      </c>
      <c r="L17" s="234">
        <f>D2/2</f>
        <v>1408371.9665879533</v>
      </c>
    </row>
    <row r="18" spans="1:12" hidden="1" x14ac:dyDescent="0.2">
      <c r="A18" s="322"/>
    </row>
    <row r="19" spans="1:12" x14ac:dyDescent="0.2">
      <c r="A19" s="322" t="s">
        <v>337</v>
      </c>
      <c r="B19" s="232">
        <f>+'bostwick dev budget'!E71</f>
        <v>343636.36363636365</v>
      </c>
      <c r="C19" s="232">
        <f>+'Development Budget'!E71</f>
        <v>196363.63636363635</v>
      </c>
      <c r="D19" s="235"/>
      <c r="J19" s="234">
        <f>+J17</f>
        <v>165682.32217377858</v>
      </c>
    </row>
    <row r="20" spans="1:12" x14ac:dyDescent="0.2">
      <c r="A20" s="322" t="s">
        <v>411</v>
      </c>
      <c r="B20" s="232">
        <f>+'bostwick dev budget'!E72</f>
        <v>171743.93317590616</v>
      </c>
      <c r="D20" s="235">
        <f t="shared" ref="D20:D21" si="0">C20+B20</f>
        <v>171743.93317590616</v>
      </c>
      <c r="J20" s="234">
        <f>+J19</f>
        <v>165682.32217377858</v>
      </c>
    </row>
    <row r="21" spans="1:12" x14ac:dyDescent="0.2">
      <c r="A21" s="322" t="s">
        <v>412</v>
      </c>
      <c r="B21" s="232">
        <f>+'bostwick dev budget'!E73</f>
        <v>59999.999999999971</v>
      </c>
      <c r="C21" s="232">
        <f>+'Development Budget'!E72</f>
        <v>94999.999999999898</v>
      </c>
      <c r="D21" s="235">
        <f t="shared" si="0"/>
        <v>154999.99999999988</v>
      </c>
      <c r="J21" s="234"/>
    </row>
    <row r="22" spans="1:12" s="1" customFormat="1" x14ac:dyDescent="0.2">
      <c r="A22" s="364" t="s">
        <v>19</v>
      </c>
      <c r="B22" s="235">
        <f>SUM(B17:B21)</f>
        <v>1625380.2968122698</v>
      </c>
      <c r="C22" s="235">
        <f>SUM(C17:C21)</f>
        <v>1191363.6363636362</v>
      </c>
      <c r="D22" s="235">
        <f>SUM(D17:D21)</f>
        <v>2276743.9331759061</v>
      </c>
      <c r="J22" s="362">
        <f>SUM(J15:J21)</f>
        <v>828411.61086889287</v>
      </c>
    </row>
    <row r="23" spans="1:12" x14ac:dyDescent="0.2">
      <c r="D23" s="235"/>
      <c r="J23" s="234">
        <f>J22+J12</f>
        <v>1423661.6108688929</v>
      </c>
    </row>
    <row r="24" spans="1:12" x14ac:dyDescent="0.2">
      <c r="B24" s="232"/>
    </row>
  </sheetData>
  <pageMargins left="0.7" right="0.7" top="0.75" bottom="0.75" header="0.3" footer="0.3"/>
  <pageSetup scale="8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60"/>
  <sheetViews>
    <sheetView view="pageBreakPreview" topLeftCell="A10" zoomScale="75" workbookViewId="0">
      <selection activeCell="C28" sqref="C28"/>
    </sheetView>
  </sheetViews>
  <sheetFormatPr defaultRowHeight="18" x14ac:dyDescent="0.35"/>
  <cols>
    <col min="1" max="1" width="48.28515625" style="12" bestFit="1" customWidth="1"/>
    <col min="2" max="3" width="15.5703125" style="12" bestFit="1" customWidth="1"/>
    <col min="4" max="4" width="15.28515625" style="7" hidden="1" customWidth="1"/>
    <col min="5" max="5" width="16.140625" style="50" bestFit="1" customWidth="1"/>
    <col min="6" max="6" width="19.42578125" style="50" bestFit="1" customWidth="1"/>
    <col min="7" max="9" width="17.7109375" style="50" bestFit="1" customWidth="1"/>
    <col min="10" max="18" width="17.7109375" bestFit="1" customWidth="1"/>
  </cols>
  <sheetData>
    <row r="1" spans="1:18" s="3" customFormat="1" ht="25.5" x14ac:dyDescent="0.45">
      <c r="A1" s="14" t="s">
        <v>78</v>
      </c>
      <c r="B1" s="4"/>
      <c r="C1" s="4"/>
      <c r="D1" s="4"/>
      <c r="E1" s="40"/>
      <c r="F1" s="40"/>
      <c r="G1" s="40"/>
      <c r="H1" s="40"/>
      <c r="I1" s="40"/>
    </row>
    <row r="2" spans="1:18" s="3" customFormat="1" ht="25.5" x14ac:dyDescent="0.45">
      <c r="A2" s="14" t="s">
        <v>88</v>
      </c>
      <c r="B2" s="4"/>
      <c r="C2" s="4"/>
      <c r="D2" s="4"/>
      <c r="E2" s="40"/>
      <c r="F2" s="40"/>
      <c r="G2" s="40"/>
      <c r="H2" s="40"/>
      <c r="I2" s="40"/>
    </row>
    <row r="3" spans="1:18" s="3" customFormat="1" ht="25.5" x14ac:dyDescent="0.45">
      <c r="A3" s="15"/>
      <c r="B3" s="16"/>
      <c r="C3" s="16"/>
      <c r="D3" s="16"/>
      <c r="E3" s="40"/>
      <c r="F3" s="40"/>
      <c r="G3" s="40"/>
      <c r="H3" s="40"/>
      <c r="I3" s="40"/>
    </row>
    <row r="4" spans="1:18" s="17" customFormat="1" ht="18.75" customHeight="1" x14ac:dyDescent="0.35">
      <c r="A4" s="19" t="s">
        <v>49</v>
      </c>
      <c r="B4" s="12"/>
      <c r="C4" s="12"/>
      <c r="D4" s="12"/>
      <c r="E4" s="41"/>
      <c r="F4" s="41"/>
      <c r="G4" s="41"/>
      <c r="H4" s="41"/>
      <c r="I4" s="41"/>
    </row>
    <row r="5" spans="1:18" s="17" customFormat="1" ht="18.75" customHeight="1" x14ac:dyDescent="0.35">
      <c r="A5" s="12" t="s">
        <v>69</v>
      </c>
      <c r="B5" s="20" t="e">
        <f>C36</f>
        <v>#REF!</v>
      </c>
      <c r="C5" s="12"/>
      <c r="D5" s="12"/>
      <c r="E5" s="41"/>
      <c r="F5" s="41"/>
      <c r="G5" s="41"/>
      <c r="H5" s="41"/>
      <c r="I5" s="41"/>
    </row>
    <row r="6" spans="1:18" s="17" customFormat="1" ht="18.75" customHeight="1" x14ac:dyDescent="0.35">
      <c r="A6" s="18" t="s">
        <v>19</v>
      </c>
      <c r="B6" s="22" t="e">
        <f>+B5</f>
        <v>#REF!</v>
      </c>
      <c r="C6" s="12"/>
      <c r="D6" s="12"/>
      <c r="E6" s="41"/>
      <c r="F6" s="41"/>
      <c r="G6" s="41" t="s">
        <v>69</v>
      </c>
      <c r="H6" s="41"/>
      <c r="I6" s="41"/>
    </row>
    <row r="7" spans="1:18" s="17" customFormat="1" ht="18.75" customHeight="1" x14ac:dyDescent="0.35">
      <c r="A7" s="18"/>
      <c r="B7" s="20"/>
      <c r="C7" s="12"/>
      <c r="D7" s="12"/>
      <c r="E7" s="41"/>
      <c r="F7" s="41"/>
      <c r="G7" s="41" t="s">
        <v>59</v>
      </c>
      <c r="H7" s="42">
        <v>7.0000000000000007E-2</v>
      </c>
      <c r="I7" s="41"/>
    </row>
    <row r="8" spans="1:18" s="17" customFormat="1" ht="18.75" customHeight="1" x14ac:dyDescent="0.35">
      <c r="A8" s="19"/>
      <c r="B8" s="20"/>
      <c r="C8" s="12"/>
      <c r="D8" s="12"/>
      <c r="E8" s="41"/>
      <c r="F8" s="41"/>
      <c r="G8" s="41" t="s">
        <v>60</v>
      </c>
      <c r="H8" s="43">
        <f>H7/12</f>
        <v>5.8333333333333336E-3</v>
      </c>
      <c r="I8" s="41"/>
    </row>
    <row r="9" spans="1:18" s="17" customFormat="1" ht="18.75" customHeight="1" x14ac:dyDescent="0.35">
      <c r="A9" s="12"/>
      <c r="B9" s="20"/>
      <c r="C9" s="12"/>
      <c r="D9" s="12"/>
      <c r="E9" s="41"/>
      <c r="F9" s="41"/>
      <c r="G9" s="41"/>
      <c r="H9" s="41"/>
      <c r="I9" s="41"/>
    </row>
    <row r="10" spans="1:18" s="17" customFormat="1" x14ac:dyDescent="0.35">
      <c r="A10" s="12"/>
      <c r="B10" s="20"/>
      <c r="C10" s="12"/>
      <c r="D10" s="12"/>
      <c r="E10" s="41"/>
      <c r="F10" s="41"/>
      <c r="G10" s="41"/>
      <c r="H10" s="41"/>
      <c r="I10" s="41"/>
    </row>
    <row r="11" spans="1:18" s="17" customFormat="1" x14ac:dyDescent="0.35">
      <c r="A11" s="12"/>
      <c r="B11" s="20"/>
      <c r="C11" s="12"/>
      <c r="D11" s="12"/>
      <c r="E11" s="41"/>
      <c r="F11" s="41"/>
      <c r="G11" s="41"/>
      <c r="H11" s="41"/>
      <c r="I11" s="41"/>
    </row>
    <row r="12" spans="1:18" s="17" customFormat="1" x14ac:dyDescent="0.35">
      <c r="A12" s="12"/>
      <c r="B12" s="20"/>
      <c r="C12" s="12"/>
      <c r="D12" s="12"/>
      <c r="E12" s="41"/>
      <c r="F12" s="41"/>
      <c r="G12" s="44">
        <v>40179</v>
      </c>
      <c r="H12" s="44">
        <v>40210</v>
      </c>
      <c r="I12" s="44">
        <v>40238</v>
      </c>
      <c r="J12" s="37">
        <v>40269</v>
      </c>
      <c r="K12" s="37">
        <v>40299</v>
      </c>
      <c r="L12" s="37">
        <v>40330</v>
      </c>
      <c r="M12" s="37">
        <v>40360</v>
      </c>
      <c r="N12" s="37">
        <v>40391</v>
      </c>
      <c r="O12" s="37">
        <v>40422</v>
      </c>
      <c r="P12" s="37">
        <v>40452</v>
      </c>
      <c r="Q12" s="37">
        <v>40483</v>
      </c>
      <c r="R12" s="37">
        <v>40513</v>
      </c>
    </row>
    <row r="13" spans="1:18" s="17" customFormat="1" x14ac:dyDescent="0.35">
      <c r="A13" s="12"/>
      <c r="B13" s="20"/>
      <c r="C13" s="12"/>
      <c r="D13" s="12"/>
      <c r="E13" s="41"/>
      <c r="F13" s="41" t="s">
        <v>61</v>
      </c>
      <c r="G13" s="45" t="e">
        <f>+B5</f>
        <v>#REF!</v>
      </c>
      <c r="H13" s="46" t="e">
        <f>+G15</f>
        <v>#REF!</v>
      </c>
      <c r="I13" s="46" t="e">
        <f>+H15</f>
        <v>#REF!</v>
      </c>
      <c r="J13" s="38" t="e">
        <f t="shared" ref="J13:R13" si="0">+I15</f>
        <v>#REF!</v>
      </c>
      <c r="K13" s="38" t="e">
        <f t="shared" si="0"/>
        <v>#REF!</v>
      </c>
      <c r="L13" s="38" t="e">
        <f t="shared" si="0"/>
        <v>#REF!</v>
      </c>
      <c r="M13" s="38" t="e">
        <f t="shared" si="0"/>
        <v>#REF!</v>
      </c>
      <c r="N13" s="38" t="e">
        <f t="shared" si="0"/>
        <v>#REF!</v>
      </c>
      <c r="O13" s="38" t="e">
        <f t="shared" si="0"/>
        <v>#REF!</v>
      </c>
      <c r="P13" s="38" t="e">
        <f t="shared" si="0"/>
        <v>#REF!</v>
      </c>
      <c r="Q13" s="38" t="e">
        <f t="shared" si="0"/>
        <v>#REF!</v>
      </c>
      <c r="R13" s="38" t="e">
        <f t="shared" si="0"/>
        <v>#REF!</v>
      </c>
    </row>
    <row r="14" spans="1:18" s="17" customFormat="1" x14ac:dyDescent="0.35">
      <c r="A14" s="12"/>
      <c r="B14" s="20"/>
      <c r="C14" s="12"/>
      <c r="D14" s="12"/>
      <c r="E14" s="41"/>
      <c r="F14" s="41" t="s">
        <v>58</v>
      </c>
      <c r="G14" s="46" t="e">
        <f>G13*$H$8</f>
        <v>#REF!</v>
      </c>
      <c r="H14" s="46" t="e">
        <f t="shared" ref="H14:P14" si="1">H13*$H$8</f>
        <v>#REF!</v>
      </c>
      <c r="I14" s="46" t="e">
        <f t="shared" si="1"/>
        <v>#REF!</v>
      </c>
      <c r="J14" s="38" t="e">
        <f t="shared" si="1"/>
        <v>#REF!</v>
      </c>
      <c r="K14" s="38" t="e">
        <f t="shared" si="1"/>
        <v>#REF!</v>
      </c>
      <c r="L14" s="38" t="e">
        <f t="shared" si="1"/>
        <v>#REF!</v>
      </c>
      <c r="M14" s="38" t="e">
        <f t="shared" si="1"/>
        <v>#REF!</v>
      </c>
      <c r="N14" s="38" t="e">
        <f t="shared" si="1"/>
        <v>#REF!</v>
      </c>
      <c r="O14" s="38" t="e">
        <f t="shared" si="1"/>
        <v>#REF!</v>
      </c>
      <c r="P14" s="38" t="e">
        <f t="shared" si="1"/>
        <v>#REF!</v>
      </c>
      <c r="Q14" s="38" t="e">
        <f>Q13*$H$8</f>
        <v>#REF!</v>
      </c>
      <c r="R14" s="38" t="e">
        <f>R13*$H$8</f>
        <v>#REF!</v>
      </c>
    </row>
    <row r="15" spans="1:18" s="17" customFormat="1" x14ac:dyDescent="0.35">
      <c r="A15" s="12"/>
      <c r="B15" s="20"/>
      <c r="C15" s="12"/>
      <c r="D15" s="12"/>
      <c r="E15" s="41"/>
      <c r="F15" s="41" t="s">
        <v>62</v>
      </c>
      <c r="G15" s="46" t="e">
        <f>G14+G13</f>
        <v>#REF!</v>
      </c>
      <c r="H15" s="46" t="e">
        <f t="shared" ref="H15:P15" si="2">H14+H13</f>
        <v>#REF!</v>
      </c>
      <c r="I15" s="46" t="e">
        <f t="shared" si="2"/>
        <v>#REF!</v>
      </c>
      <c r="J15" s="38" t="e">
        <f t="shared" si="2"/>
        <v>#REF!</v>
      </c>
      <c r="K15" s="38" t="e">
        <f t="shared" si="2"/>
        <v>#REF!</v>
      </c>
      <c r="L15" s="38" t="e">
        <f t="shared" si="2"/>
        <v>#REF!</v>
      </c>
      <c r="M15" s="38" t="e">
        <f t="shared" si="2"/>
        <v>#REF!</v>
      </c>
      <c r="N15" s="38" t="e">
        <f t="shared" si="2"/>
        <v>#REF!</v>
      </c>
      <c r="O15" s="38" t="e">
        <f t="shared" si="2"/>
        <v>#REF!</v>
      </c>
      <c r="P15" s="38" t="e">
        <f t="shared" si="2"/>
        <v>#REF!</v>
      </c>
      <c r="Q15" s="38" t="e">
        <f>Q14+Q13</f>
        <v>#REF!</v>
      </c>
      <c r="R15" s="38" t="e">
        <f>R14+R13</f>
        <v>#REF!</v>
      </c>
    </row>
    <row r="16" spans="1:18" s="17" customFormat="1" x14ac:dyDescent="0.35">
      <c r="A16" s="18"/>
      <c r="B16" s="20"/>
      <c r="C16" s="12"/>
      <c r="D16" s="12"/>
      <c r="E16" s="41"/>
      <c r="F16" s="41" t="s">
        <v>63</v>
      </c>
      <c r="G16" s="46" t="e">
        <f>G14</f>
        <v>#REF!</v>
      </c>
      <c r="H16" s="46" t="e">
        <f>G16+H14</f>
        <v>#REF!</v>
      </c>
      <c r="I16" s="46" t="e">
        <f t="shared" ref="I16:R16" si="3">H16+I14</f>
        <v>#REF!</v>
      </c>
      <c r="J16" s="38" t="e">
        <f t="shared" si="3"/>
        <v>#REF!</v>
      </c>
      <c r="K16" s="38" t="e">
        <f t="shared" si="3"/>
        <v>#REF!</v>
      </c>
      <c r="L16" s="38" t="e">
        <f t="shared" si="3"/>
        <v>#REF!</v>
      </c>
      <c r="M16" s="38" t="e">
        <f t="shared" si="3"/>
        <v>#REF!</v>
      </c>
      <c r="N16" s="38" t="e">
        <f t="shared" si="3"/>
        <v>#REF!</v>
      </c>
      <c r="O16" s="38" t="e">
        <f t="shared" si="3"/>
        <v>#REF!</v>
      </c>
      <c r="P16" s="38" t="e">
        <f t="shared" si="3"/>
        <v>#REF!</v>
      </c>
      <c r="Q16" s="38" t="e">
        <f t="shared" si="3"/>
        <v>#REF!</v>
      </c>
      <c r="R16" s="38" t="e">
        <f t="shared" si="3"/>
        <v>#REF!</v>
      </c>
    </row>
    <row r="17" spans="1:9" s="17" customFormat="1" x14ac:dyDescent="0.35">
      <c r="A17" s="18"/>
      <c r="B17" s="12"/>
      <c r="C17" s="12"/>
      <c r="D17" s="12"/>
      <c r="E17" s="41"/>
      <c r="F17" s="41"/>
      <c r="G17" s="41"/>
      <c r="H17" s="41"/>
      <c r="I17" s="41"/>
    </row>
    <row r="18" spans="1:9" s="17" customFormat="1" x14ac:dyDescent="0.35">
      <c r="A18" s="21"/>
      <c r="B18" s="13"/>
      <c r="C18" s="12"/>
      <c r="D18" s="12"/>
      <c r="E18" s="41"/>
      <c r="F18" s="41"/>
      <c r="G18" s="41"/>
      <c r="H18" s="41"/>
      <c r="I18" s="41"/>
    </row>
    <row r="19" spans="1:9" s="17" customFormat="1" x14ac:dyDescent="0.35">
      <c r="A19" s="18"/>
      <c r="B19" s="12"/>
      <c r="C19" s="12"/>
      <c r="D19" s="12"/>
      <c r="E19" s="41"/>
      <c r="F19" s="41"/>
      <c r="G19" s="41"/>
      <c r="H19" s="41"/>
      <c r="I19" s="41"/>
    </row>
    <row r="20" spans="1:9" s="17" customFormat="1" ht="21" x14ac:dyDescent="0.4">
      <c r="A20" s="14"/>
      <c r="B20" s="12"/>
      <c r="C20" s="12"/>
      <c r="D20" s="12"/>
      <c r="E20" s="41"/>
      <c r="F20" s="41"/>
      <c r="G20" s="41"/>
      <c r="H20" s="41"/>
      <c r="I20" s="41"/>
    </row>
    <row r="21" spans="1:9" s="17" customFormat="1" ht="21" x14ac:dyDescent="0.4">
      <c r="A21" s="31" t="s">
        <v>78</v>
      </c>
      <c r="B21" s="32"/>
      <c r="C21" s="32"/>
      <c r="D21" s="32"/>
      <c r="E21" s="41"/>
      <c r="F21" s="41"/>
      <c r="G21" s="41"/>
      <c r="H21" s="41"/>
      <c r="I21" s="41"/>
    </row>
    <row r="22" spans="1:9" s="17" customFormat="1" x14ac:dyDescent="0.35">
      <c r="A22" s="33" t="s">
        <v>57</v>
      </c>
      <c r="B22" s="33"/>
      <c r="C22" s="33"/>
      <c r="D22" s="33"/>
      <c r="E22" s="41"/>
      <c r="F22" s="41"/>
      <c r="G22" s="41"/>
      <c r="H22" s="41"/>
      <c r="I22" s="41"/>
    </row>
    <row r="23" spans="1:9" s="17" customFormat="1" x14ac:dyDescent="0.35">
      <c r="A23" s="12"/>
      <c r="B23" s="12"/>
      <c r="C23" s="12"/>
      <c r="D23" s="12"/>
      <c r="E23" s="41"/>
      <c r="F23" s="41"/>
      <c r="G23" s="41"/>
      <c r="H23" s="41"/>
      <c r="I23" s="41"/>
    </row>
    <row r="24" spans="1:9" s="17" customFormat="1" x14ac:dyDescent="0.35">
      <c r="A24" s="5" t="s">
        <v>44</v>
      </c>
      <c r="B24" s="23" t="s">
        <v>47</v>
      </c>
      <c r="C24" s="24"/>
      <c r="D24" s="6" t="s">
        <v>48</v>
      </c>
      <c r="E24" s="41"/>
      <c r="F24" s="41"/>
      <c r="G24" s="41"/>
      <c r="H24" s="41"/>
      <c r="I24" s="41"/>
    </row>
    <row r="25" spans="1:9" s="17" customFormat="1" x14ac:dyDescent="0.35">
      <c r="A25" s="8" t="s">
        <v>1</v>
      </c>
      <c r="B25" s="9">
        <v>150000</v>
      </c>
      <c r="C25" s="34"/>
      <c r="D25" s="35">
        <f>B25-C25</f>
        <v>150000</v>
      </c>
      <c r="E25" s="41"/>
      <c r="F25" s="41"/>
      <c r="G25" s="41"/>
      <c r="H25" s="41"/>
      <c r="I25" s="41"/>
    </row>
    <row r="26" spans="1:9" s="17" customFormat="1" ht="36" x14ac:dyDescent="0.35">
      <c r="A26" s="8" t="s">
        <v>80</v>
      </c>
      <c r="B26" s="9" t="e">
        <f>'Development Budget'!#REF!</f>
        <v>#REF!</v>
      </c>
      <c r="C26" s="34">
        <v>10000</v>
      </c>
      <c r="D26" s="35" t="e">
        <f t="shared" ref="D26:D36" si="4">B26-C26</f>
        <v>#REF!</v>
      </c>
      <c r="E26" s="47"/>
      <c r="F26" s="47"/>
      <c r="G26" s="41"/>
      <c r="H26" s="41"/>
      <c r="I26" s="41"/>
    </row>
    <row r="27" spans="1:9" s="17" customFormat="1" ht="36" x14ac:dyDescent="0.35">
      <c r="A27" s="8" t="s">
        <v>70</v>
      </c>
      <c r="B27" s="9" t="e">
        <f>'Development Budget'!#REF!</f>
        <v>#REF!</v>
      </c>
      <c r="C27" s="34">
        <v>3000</v>
      </c>
      <c r="D27" s="35" t="e">
        <f t="shared" si="4"/>
        <v>#REF!</v>
      </c>
      <c r="E27" s="41"/>
      <c r="F27" s="41"/>
      <c r="G27" s="41"/>
      <c r="H27" s="41"/>
      <c r="I27" s="41"/>
    </row>
    <row r="28" spans="1:9" s="17" customFormat="1" x14ac:dyDescent="0.35">
      <c r="A28" s="8" t="s">
        <v>45</v>
      </c>
      <c r="B28" s="9" t="e">
        <f>'Development Budget'!#REF!</f>
        <v>#REF!</v>
      </c>
      <c r="C28" s="34" t="e">
        <f>B28/2</f>
        <v>#REF!</v>
      </c>
      <c r="D28" s="35" t="e">
        <f t="shared" si="4"/>
        <v>#REF!</v>
      </c>
      <c r="E28" s="41"/>
      <c r="F28" s="41"/>
      <c r="G28" s="41"/>
      <c r="H28" s="41"/>
      <c r="I28" s="41"/>
    </row>
    <row r="29" spans="1:9" s="17" customFormat="1" x14ac:dyDescent="0.35">
      <c r="A29" s="8" t="s">
        <v>71</v>
      </c>
      <c r="B29" s="9" t="e">
        <f>'Development Budget'!#REF!</f>
        <v>#REF!</v>
      </c>
      <c r="C29" s="34">
        <v>500</v>
      </c>
      <c r="D29" s="35" t="e">
        <f t="shared" si="4"/>
        <v>#REF!</v>
      </c>
      <c r="E29" s="41"/>
      <c r="F29" s="41"/>
      <c r="G29" s="41"/>
      <c r="H29" s="41"/>
      <c r="I29" s="41"/>
    </row>
    <row r="30" spans="1:9" s="17" customFormat="1" x14ac:dyDescent="0.35">
      <c r="A30" s="8" t="s">
        <v>6</v>
      </c>
      <c r="B30" s="9" t="e">
        <f>'Development Budget'!#REF!</f>
        <v>#REF!</v>
      </c>
      <c r="C30" s="34">
        <v>5000</v>
      </c>
      <c r="D30" s="35" t="e">
        <f t="shared" si="4"/>
        <v>#REF!</v>
      </c>
      <c r="E30" s="41"/>
      <c r="F30" s="41"/>
      <c r="G30" s="41"/>
      <c r="H30" s="41"/>
      <c r="I30" s="41"/>
    </row>
    <row r="31" spans="1:9" s="17" customFormat="1" x14ac:dyDescent="0.35">
      <c r="A31" s="8" t="s">
        <v>46</v>
      </c>
      <c r="B31" s="9" t="e">
        <f>'Development Budget'!#REF!</f>
        <v>#REF!</v>
      </c>
      <c r="C31" s="34">
        <v>4000</v>
      </c>
      <c r="D31" s="35" t="e">
        <f t="shared" si="4"/>
        <v>#REF!</v>
      </c>
      <c r="E31" s="41"/>
      <c r="F31" s="41"/>
      <c r="G31" s="41"/>
      <c r="H31" s="41"/>
      <c r="I31" s="41"/>
    </row>
    <row r="32" spans="1:9" s="17" customFormat="1" x14ac:dyDescent="0.35">
      <c r="A32" s="8" t="s">
        <v>50</v>
      </c>
      <c r="B32" s="9" t="e">
        <f>'Development Budget'!#REF!</f>
        <v>#REF!</v>
      </c>
      <c r="C32" s="34">
        <v>2000</v>
      </c>
      <c r="D32" s="35" t="e">
        <f t="shared" si="4"/>
        <v>#REF!</v>
      </c>
      <c r="E32" s="41"/>
      <c r="F32" s="41"/>
      <c r="G32" s="41"/>
      <c r="H32" s="41"/>
      <c r="I32" s="41"/>
    </row>
    <row r="33" spans="1:9" s="17" customFormat="1" x14ac:dyDescent="0.35">
      <c r="A33" s="8" t="s">
        <v>51</v>
      </c>
      <c r="B33" s="51">
        <f>'RE Taxes'!C9</f>
        <v>16713.36</v>
      </c>
      <c r="C33" s="34">
        <f>B33/2</f>
        <v>8356.68</v>
      </c>
      <c r="D33" s="35">
        <f t="shared" si="4"/>
        <v>8356.68</v>
      </c>
      <c r="E33" s="41"/>
      <c r="F33" s="41"/>
      <c r="G33" s="41"/>
      <c r="H33" s="41"/>
      <c r="I33" s="41"/>
    </row>
    <row r="34" spans="1:9" s="17" customFormat="1" x14ac:dyDescent="0.35">
      <c r="A34" s="8" t="s">
        <v>86</v>
      </c>
      <c r="B34" s="9">
        <v>3600</v>
      </c>
      <c r="C34" s="34">
        <v>3600</v>
      </c>
      <c r="D34" s="35">
        <f t="shared" si="4"/>
        <v>0</v>
      </c>
      <c r="E34" s="41"/>
      <c r="F34" s="41"/>
      <c r="G34" s="41"/>
      <c r="H34" s="41"/>
      <c r="I34" s="41"/>
    </row>
    <row r="35" spans="1:9" s="17" customFormat="1" x14ac:dyDescent="0.35">
      <c r="A35" s="8" t="s">
        <v>52</v>
      </c>
      <c r="B35" s="9" t="e">
        <f>'Development Budget'!#REF!</f>
        <v>#REF!</v>
      </c>
      <c r="C35" s="34">
        <v>1400</v>
      </c>
      <c r="D35" s="35" t="e">
        <f t="shared" si="4"/>
        <v>#REF!</v>
      </c>
      <c r="E35" s="41"/>
      <c r="F35" s="41"/>
      <c r="G35" s="41"/>
      <c r="H35" s="41"/>
      <c r="I35" s="41"/>
    </row>
    <row r="36" spans="1:9" s="25" customFormat="1" x14ac:dyDescent="0.35">
      <c r="A36" s="10" t="s">
        <v>19</v>
      </c>
      <c r="B36" s="11" t="e">
        <f>SUM(B25:B35)</f>
        <v>#REF!</v>
      </c>
      <c r="C36" s="11" t="e">
        <f>SUM(C25:C35)</f>
        <v>#REF!</v>
      </c>
      <c r="D36" s="35" t="e">
        <f t="shared" si="4"/>
        <v>#REF!</v>
      </c>
      <c r="E36" s="48"/>
      <c r="F36" s="48"/>
      <c r="G36" s="48"/>
      <c r="H36" s="49"/>
      <c r="I36" s="49"/>
    </row>
    <row r="37" spans="1:9" s="17" customFormat="1" x14ac:dyDescent="0.35">
      <c r="A37" s="12"/>
      <c r="B37" s="12"/>
      <c r="C37" s="13"/>
      <c r="D37" s="12"/>
      <c r="E37" s="41"/>
      <c r="F37" s="41"/>
      <c r="G37" s="41"/>
      <c r="H37" s="41"/>
      <c r="I37" s="41"/>
    </row>
    <row r="38" spans="1:9" s="17" customFormat="1" x14ac:dyDescent="0.35">
      <c r="A38" s="12"/>
      <c r="B38" s="12"/>
      <c r="C38" s="12"/>
      <c r="D38" s="12"/>
      <c r="E38" s="41"/>
      <c r="F38" s="41"/>
      <c r="G38" s="41"/>
      <c r="H38" s="41"/>
      <c r="I38" s="41"/>
    </row>
    <row r="39" spans="1:9" s="17" customFormat="1" x14ac:dyDescent="0.35">
      <c r="A39" s="12"/>
      <c r="B39" s="12"/>
      <c r="C39" s="12"/>
      <c r="D39" s="12"/>
      <c r="E39" s="41"/>
      <c r="F39" s="41"/>
      <c r="G39" s="41"/>
      <c r="H39" s="41"/>
      <c r="I39" s="41"/>
    </row>
    <row r="40" spans="1:9" s="17" customFormat="1" x14ac:dyDescent="0.35">
      <c r="A40" s="12"/>
      <c r="B40" s="12"/>
      <c r="C40" s="12"/>
      <c r="D40" s="12"/>
      <c r="E40" s="41"/>
      <c r="F40" s="41"/>
      <c r="G40" s="41"/>
      <c r="H40" s="41"/>
      <c r="I40" s="41"/>
    </row>
    <row r="41" spans="1:9" s="17" customFormat="1" x14ac:dyDescent="0.35">
      <c r="A41" s="12"/>
      <c r="B41" s="12"/>
      <c r="C41" s="12"/>
      <c r="D41" s="12"/>
      <c r="E41" s="41"/>
      <c r="F41" s="41"/>
      <c r="G41" s="41"/>
      <c r="H41" s="41"/>
      <c r="I41" s="41"/>
    </row>
    <row r="42" spans="1:9" s="17" customFormat="1" x14ac:dyDescent="0.35">
      <c r="A42" s="12"/>
      <c r="B42" s="12"/>
      <c r="C42" s="12"/>
      <c r="D42" s="12"/>
      <c r="E42" s="41"/>
      <c r="F42" s="41"/>
      <c r="G42" s="41"/>
      <c r="H42" s="41"/>
      <c r="I42" s="41"/>
    </row>
    <row r="43" spans="1:9" s="17" customFormat="1" x14ac:dyDescent="0.35">
      <c r="A43" s="12"/>
      <c r="B43" s="12"/>
      <c r="C43" s="12"/>
      <c r="D43" s="12"/>
      <c r="E43" s="41"/>
      <c r="F43" s="41"/>
      <c r="G43" s="41"/>
      <c r="H43" s="41"/>
      <c r="I43" s="41"/>
    </row>
    <row r="44" spans="1:9" s="17" customFormat="1" x14ac:dyDescent="0.35">
      <c r="A44" s="12"/>
      <c r="B44" s="12"/>
      <c r="C44" s="12"/>
      <c r="D44" s="12"/>
      <c r="E44" s="41"/>
      <c r="F44" s="41"/>
      <c r="G44" s="41"/>
      <c r="H44" s="41"/>
      <c r="I44" s="41"/>
    </row>
    <row r="45" spans="1:9" s="17" customFormat="1" x14ac:dyDescent="0.35">
      <c r="A45" s="12"/>
      <c r="B45" s="12"/>
      <c r="C45" s="12"/>
      <c r="D45" s="12"/>
      <c r="E45" s="41"/>
      <c r="F45" s="41"/>
      <c r="G45" s="41"/>
      <c r="H45" s="41"/>
      <c r="I45" s="41"/>
    </row>
    <row r="46" spans="1:9" s="17" customFormat="1" x14ac:dyDescent="0.35">
      <c r="A46" s="12"/>
      <c r="B46" s="12"/>
      <c r="C46" s="12"/>
      <c r="D46" s="12"/>
      <c r="E46" s="41"/>
      <c r="F46" s="41"/>
      <c r="G46" s="41"/>
      <c r="H46" s="41"/>
      <c r="I46" s="41"/>
    </row>
    <row r="47" spans="1:9" s="17" customFormat="1" x14ac:dyDescent="0.35">
      <c r="A47" s="12"/>
      <c r="B47" s="12"/>
      <c r="C47" s="12"/>
      <c r="D47" s="12"/>
      <c r="E47" s="41"/>
      <c r="F47" s="41"/>
      <c r="G47" s="41"/>
      <c r="H47" s="41"/>
      <c r="I47" s="41"/>
    </row>
    <row r="48" spans="1:9" s="17" customFormat="1" x14ac:dyDescent="0.35">
      <c r="A48" s="12"/>
      <c r="B48" s="12"/>
      <c r="C48" s="12"/>
      <c r="D48" s="12"/>
      <c r="E48" s="41"/>
      <c r="F48" s="41"/>
      <c r="G48" s="41"/>
      <c r="H48" s="41"/>
      <c r="I48" s="41"/>
    </row>
    <row r="49" spans="1:9" s="17" customFormat="1" x14ac:dyDescent="0.35">
      <c r="A49" s="12"/>
      <c r="B49" s="12"/>
      <c r="C49" s="12"/>
      <c r="D49" s="12"/>
      <c r="E49" s="41"/>
      <c r="F49" s="41"/>
      <c r="G49" s="41"/>
      <c r="H49" s="41"/>
      <c r="I49" s="41"/>
    </row>
    <row r="50" spans="1:9" s="17" customFormat="1" x14ac:dyDescent="0.35">
      <c r="A50" s="12"/>
      <c r="B50" s="12"/>
      <c r="C50" s="12"/>
      <c r="D50" s="12"/>
      <c r="E50" s="41"/>
      <c r="F50" s="41"/>
      <c r="G50" s="41"/>
      <c r="H50" s="41"/>
      <c r="I50" s="41"/>
    </row>
    <row r="51" spans="1:9" s="17" customFormat="1" x14ac:dyDescent="0.35">
      <c r="A51" s="12"/>
      <c r="B51" s="12"/>
      <c r="C51" s="12"/>
      <c r="D51" s="12"/>
      <c r="E51" s="41"/>
      <c r="F51" s="41"/>
      <c r="G51" s="41"/>
      <c r="H51" s="41"/>
      <c r="I51" s="41"/>
    </row>
    <row r="52" spans="1:9" s="17" customFormat="1" x14ac:dyDescent="0.35">
      <c r="A52" s="12"/>
      <c r="B52" s="12"/>
      <c r="C52" s="12"/>
      <c r="D52" s="12"/>
      <c r="E52" s="41"/>
      <c r="F52" s="41"/>
      <c r="G52" s="41"/>
      <c r="H52" s="41"/>
      <c r="I52" s="41"/>
    </row>
    <row r="53" spans="1:9" s="17" customFormat="1" x14ac:dyDescent="0.35">
      <c r="A53" s="12"/>
      <c r="B53" s="12"/>
      <c r="C53" s="12"/>
      <c r="D53" s="12"/>
      <c r="E53" s="41"/>
      <c r="F53" s="41"/>
      <c r="G53" s="41"/>
      <c r="H53" s="41"/>
      <c r="I53" s="41"/>
    </row>
    <row r="54" spans="1:9" s="17" customFormat="1" x14ac:dyDescent="0.35">
      <c r="A54" s="12"/>
      <c r="B54" s="12"/>
      <c r="C54" s="12"/>
      <c r="D54" s="12"/>
      <c r="E54" s="41"/>
      <c r="F54" s="41"/>
      <c r="G54" s="41"/>
      <c r="H54" s="41"/>
      <c r="I54" s="41"/>
    </row>
    <row r="55" spans="1:9" s="17" customFormat="1" x14ac:dyDescent="0.35">
      <c r="A55" s="12"/>
      <c r="B55" s="12"/>
      <c r="C55" s="12"/>
      <c r="D55" s="12"/>
      <c r="E55" s="41"/>
      <c r="F55" s="41"/>
      <c r="G55" s="41"/>
      <c r="H55" s="41"/>
      <c r="I55" s="41"/>
    </row>
    <row r="56" spans="1:9" s="17" customFormat="1" x14ac:dyDescent="0.35">
      <c r="A56" s="12"/>
      <c r="B56" s="12"/>
      <c r="C56" s="12"/>
      <c r="D56" s="12"/>
      <c r="E56" s="41"/>
      <c r="F56" s="41"/>
      <c r="G56" s="41"/>
      <c r="H56" s="41"/>
      <c r="I56" s="41"/>
    </row>
    <row r="57" spans="1:9" s="17" customFormat="1" x14ac:dyDescent="0.35">
      <c r="A57" s="12"/>
      <c r="B57" s="12"/>
      <c r="C57" s="12"/>
      <c r="D57" s="12"/>
      <c r="E57" s="41"/>
      <c r="F57" s="41"/>
      <c r="G57" s="41"/>
      <c r="H57" s="41"/>
      <c r="I57" s="41"/>
    </row>
    <row r="58" spans="1:9" s="17" customFormat="1" x14ac:dyDescent="0.35">
      <c r="A58" s="12"/>
      <c r="B58" s="12"/>
      <c r="C58" s="12"/>
      <c r="D58" s="12"/>
      <c r="E58" s="41"/>
      <c r="F58" s="41"/>
      <c r="G58" s="41"/>
      <c r="H58" s="41"/>
      <c r="I58" s="41"/>
    </row>
    <row r="59" spans="1:9" s="17" customFormat="1" x14ac:dyDescent="0.35">
      <c r="A59" s="12"/>
      <c r="B59" s="12"/>
      <c r="C59" s="12"/>
      <c r="D59" s="12"/>
      <c r="E59" s="41"/>
      <c r="F59" s="41"/>
      <c r="G59" s="41"/>
      <c r="H59" s="41"/>
      <c r="I59" s="41"/>
    </row>
    <row r="60" spans="1:9" s="17" customFormat="1" x14ac:dyDescent="0.35">
      <c r="A60" s="12"/>
      <c r="B60" s="12"/>
      <c r="C60" s="12"/>
      <c r="D60" s="12"/>
      <c r="E60" s="41"/>
      <c r="F60" s="41"/>
      <c r="G60" s="41"/>
      <c r="H60" s="41"/>
      <c r="I60" s="41"/>
    </row>
  </sheetData>
  <phoneticPr fontId="3" type="noConversion"/>
  <pageMargins left="0.75" right="0.75" top="1" bottom="1" header="0.5" footer="0.5"/>
  <pageSetup scale="71" orientation="portrait" horizontalDpi="300" verticalDpi="300" r:id="rId1"/>
  <headerFooter alignWithMargins="0"/>
  <rowBreaks count="1" manualBreakCount="1">
    <brk id="18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29"/>
  <sheetViews>
    <sheetView zoomScaleNormal="100" workbookViewId="0">
      <selection activeCell="H9" sqref="H9"/>
    </sheetView>
  </sheetViews>
  <sheetFormatPr defaultRowHeight="15" x14ac:dyDescent="0.2"/>
  <cols>
    <col min="1" max="1" width="32.28515625" style="17" bestFit="1" customWidth="1"/>
    <col min="2" max="2" width="9.140625" style="17"/>
    <col min="3" max="3" width="10.42578125" style="17" customWidth="1"/>
    <col min="4" max="4" width="12.85546875" style="17" customWidth="1"/>
    <col min="5" max="5" width="7.7109375" style="17" bestFit="1" customWidth="1"/>
    <col min="6" max="16384" width="9.140625" style="17"/>
  </cols>
  <sheetData>
    <row r="1" spans="1:5" ht="15.75" x14ac:dyDescent="0.25">
      <c r="A1" s="25" t="s">
        <v>297</v>
      </c>
    </row>
    <row r="2" spans="1:5" ht="15.75" x14ac:dyDescent="0.25">
      <c r="A2" s="25" t="s">
        <v>251</v>
      </c>
    </row>
    <row r="4" spans="1:5" ht="47.25" x14ac:dyDescent="0.25">
      <c r="A4" s="178" t="s">
        <v>215</v>
      </c>
      <c r="B4" s="178" t="s">
        <v>216</v>
      </c>
      <c r="C4" s="178" t="s">
        <v>0</v>
      </c>
      <c r="D4" s="178" t="s">
        <v>219</v>
      </c>
      <c r="E4" s="178" t="s">
        <v>205</v>
      </c>
    </row>
    <row r="5" spans="1:5" x14ac:dyDescent="0.2">
      <c r="A5" s="179" t="s">
        <v>405</v>
      </c>
      <c r="B5" s="179">
        <v>1100</v>
      </c>
      <c r="C5" s="179">
        <v>2</v>
      </c>
      <c r="D5" s="179">
        <f>C5*B5</f>
        <v>2200</v>
      </c>
      <c r="E5" s="179"/>
    </row>
    <row r="6" spans="1:5" x14ac:dyDescent="0.2">
      <c r="A6" s="179" t="s">
        <v>406</v>
      </c>
      <c r="B6" s="179">
        <v>1100</v>
      </c>
      <c r="C6" s="179">
        <v>2</v>
      </c>
      <c r="D6" s="179">
        <f>C6*B6</f>
        <v>2200</v>
      </c>
      <c r="E6" s="179"/>
    </row>
    <row r="7" spans="1:5" s="25" customFormat="1" ht="15.75" x14ac:dyDescent="0.25">
      <c r="A7" s="179" t="s">
        <v>15</v>
      </c>
      <c r="B7" s="179"/>
      <c r="C7" s="179">
        <f>SUM(C5:C6)</f>
        <v>4</v>
      </c>
      <c r="D7" s="179">
        <f>SUM(D5:D6)</f>
        <v>4400</v>
      </c>
      <c r="E7" s="180"/>
    </row>
    <row r="8" spans="1:5" ht="15.75" x14ac:dyDescent="0.25">
      <c r="A8" s="180" t="s">
        <v>218</v>
      </c>
      <c r="B8" s="180"/>
      <c r="C8" s="180"/>
      <c r="D8" s="180">
        <f>E8*D7</f>
        <v>880</v>
      </c>
      <c r="E8" s="181">
        <v>0.2</v>
      </c>
    </row>
    <row r="9" spans="1:5" ht="15.75" x14ac:dyDescent="0.25">
      <c r="A9" s="25" t="s">
        <v>217</v>
      </c>
      <c r="B9" s="25"/>
      <c r="C9" s="25"/>
      <c r="D9" s="25">
        <f>D8+D7</f>
        <v>5280</v>
      </c>
    </row>
    <row r="10" spans="1:5" hidden="1" x14ac:dyDescent="0.2"/>
    <row r="11" spans="1:5" hidden="1" x14ac:dyDescent="0.2"/>
    <row r="12" spans="1:5" hidden="1" x14ac:dyDescent="0.2"/>
    <row r="13" spans="1:5" hidden="1" x14ac:dyDescent="0.2"/>
    <row r="14" spans="1:5" ht="15.75" hidden="1" x14ac:dyDescent="0.25">
      <c r="A14" s="227" t="s">
        <v>300</v>
      </c>
    </row>
    <row r="15" spans="1:5" hidden="1" x14ac:dyDescent="0.2"/>
    <row r="16" spans="1:5" hidden="1" x14ac:dyDescent="0.2">
      <c r="A16" s="17" t="s">
        <v>301</v>
      </c>
      <c r="C16" s="17">
        <v>21.9</v>
      </c>
      <c r="D16" s="17">
        <v>91.74</v>
      </c>
      <c r="E16" s="17">
        <f>D16*C16</f>
        <v>2009.1059999999998</v>
      </c>
    </row>
    <row r="17" spans="1:7" hidden="1" x14ac:dyDescent="0.2">
      <c r="A17" s="17" t="s">
        <v>302</v>
      </c>
      <c r="D17" s="226">
        <v>0.6</v>
      </c>
      <c r="E17" s="17">
        <f>E16*D17</f>
        <v>1205.4635999999998</v>
      </c>
    </row>
    <row r="18" spans="1:7" hidden="1" x14ac:dyDescent="0.2">
      <c r="A18" s="17" t="s">
        <v>303</v>
      </c>
      <c r="C18" s="17">
        <v>50</v>
      </c>
      <c r="D18" s="17">
        <v>43560</v>
      </c>
      <c r="E18" s="17">
        <f>D18/C18</f>
        <v>871.2</v>
      </c>
      <c r="F18" s="17" t="s">
        <v>306</v>
      </c>
      <c r="G18" s="361">
        <f>E16/E18</f>
        <v>2.3061363636363632</v>
      </c>
    </row>
    <row r="19" spans="1:7" hidden="1" x14ac:dyDescent="0.2">
      <c r="A19" s="17" t="s">
        <v>304</v>
      </c>
      <c r="C19" s="17">
        <v>4</v>
      </c>
      <c r="D19" s="17" t="s">
        <v>305</v>
      </c>
    </row>
    <row r="20" spans="1:7" hidden="1" x14ac:dyDescent="0.2">
      <c r="C20" s="17" t="s">
        <v>308</v>
      </c>
      <c r="D20" s="17">
        <v>3</v>
      </c>
      <c r="E20" s="228">
        <f>D20*E17</f>
        <v>3616.3907999999992</v>
      </c>
    </row>
    <row r="21" spans="1:7" hidden="1" x14ac:dyDescent="0.2"/>
    <row r="22" spans="1:7" hidden="1" x14ac:dyDescent="0.2"/>
    <row r="23" spans="1:7" ht="15.75" hidden="1" x14ac:dyDescent="0.25">
      <c r="A23" s="25" t="s">
        <v>307</v>
      </c>
      <c r="C23" s="17">
        <v>25.16</v>
      </c>
      <c r="D23" s="17">
        <v>57.68</v>
      </c>
      <c r="E23" s="17">
        <f>D23*C23</f>
        <v>1451.2288000000001</v>
      </c>
      <c r="F23" s="361">
        <f>E23/E24</f>
        <v>1.6666666666666667</v>
      </c>
    </row>
    <row r="24" spans="1:7" hidden="1" x14ac:dyDescent="0.2">
      <c r="D24" s="226">
        <v>0.6</v>
      </c>
      <c r="E24" s="17">
        <f>E23*D24</f>
        <v>870.73728000000006</v>
      </c>
    </row>
    <row r="25" spans="1:7" hidden="1" x14ac:dyDescent="0.2">
      <c r="C25" s="17" t="s">
        <v>308</v>
      </c>
      <c r="D25" s="17">
        <v>3</v>
      </c>
      <c r="E25" s="228">
        <f>D25*E24</f>
        <v>2612.2118399999999</v>
      </c>
    </row>
    <row r="26" spans="1:7" hidden="1" x14ac:dyDescent="0.2"/>
    <row r="27" spans="1:7" hidden="1" x14ac:dyDescent="0.2">
      <c r="E27" s="17">
        <f>E25+E20</f>
        <v>6228.6026399999992</v>
      </c>
    </row>
    <row r="28" spans="1:7" hidden="1" x14ac:dyDescent="0.2"/>
    <row r="29" spans="1:7" hidden="1" x14ac:dyDescent="0.2"/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2:AH87"/>
  <sheetViews>
    <sheetView tabSelected="1" view="pageBreakPreview" topLeftCell="A52" zoomScaleSheetLayoutView="100" workbookViewId="0">
      <selection activeCell="A92" sqref="A92"/>
    </sheetView>
  </sheetViews>
  <sheetFormatPr defaultRowHeight="11.25" x14ac:dyDescent="0.2"/>
  <cols>
    <col min="1" max="1" width="35.7109375" style="237" customWidth="1"/>
    <col min="2" max="2" width="12.7109375" style="237" hidden="1" customWidth="1"/>
    <col min="3" max="3" width="11" style="237" bestFit="1" customWidth="1"/>
    <col min="4" max="4" width="10.7109375" style="237" bestFit="1" customWidth="1"/>
    <col min="5" max="5" width="12.5703125" style="238" bestFit="1" customWidth="1"/>
    <col min="6" max="6" width="37.42578125" style="238" bestFit="1" customWidth="1"/>
    <col min="7" max="7" width="21.7109375" style="238" hidden="1" customWidth="1"/>
    <col min="8" max="8" width="17.85546875" style="238" hidden="1" customWidth="1"/>
    <col min="9" max="9" width="108" style="238" hidden="1" customWidth="1"/>
    <col min="10" max="10" width="13.28515625" style="238" hidden="1" customWidth="1"/>
    <col min="11" max="11" width="16" style="238" hidden="1" customWidth="1"/>
    <col min="12" max="12" width="38.42578125" style="238" hidden="1" customWidth="1"/>
    <col min="13" max="13" width="23" style="238" hidden="1" customWidth="1"/>
    <col min="14" max="14" width="5.42578125" style="238" hidden="1" customWidth="1"/>
    <col min="15" max="15" width="13.7109375" style="238" hidden="1" customWidth="1"/>
    <col min="16" max="17" width="9.140625" style="238" hidden="1" customWidth="1"/>
    <col min="18" max="19" width="11.140625" style="238" hidden="1" customWidth="1"/>
    <col min="20" max="20" width="12.5703125" style="238" hidden="1" customWidth="1"/>
    <col min="21" max="30" width="0" style="238" hidden="1" customWidth="1"/>
    <col min="31" max="31" width="13.28515625" style="238" bestFit="1" customWidth="1"/>
    <col min="32" max="32" width="9.85546875" style="238" bestFit="1" customWidth="1"/>
    <col min="33" max="33" width="9.140625" style="238"/>
    <col min="34" max="34" width="9.85546875" style="238" bestFit="1" customWidth="1"/>
    <col min="35" max="16384" width="9.140625" style="238"/>
  </cols>
  <sheetData>
    <row r="2" spans="1:31" x14ac:dyDescent="0.2">
      <c r="A2" s="236" t="str">
        <f>+'Project Size'!A1</f>
        <v>474/80 Ocean Avenue</v>
      </c>
    </row>
    <row r="3" spans="1:31" x14ac:dyDescent="0.2">
      <c r="A3" s="236" t="s">
        <v>3</v>
      </c>
    </row>
    <row r="4" spans="1:31" hidden="1" x14ac:dyDescent="0.2">
      <c r="A4" s="236"/>
    </row>
    <row r="5" spans="1:31" hidden="1" x14ac:dyDescent="0.2">
      <c r="A5" s="237" t="s">
        <v>245</v>
      </c>
      <c r="B5" s="237">
        <v>2</v>
      </c>
    </row>
    <row r="6" spans="1:31" hidden="1" x14ac:dyDescent="0.2">
      <c r="A6" s="237" t="s">
        <v>166</v>
      </c>
      <c r="B6" s="237">
        <f>+'Project Size'!C7</f>
        <v>4</v>
      </c>
    </row>
    <row r="7" spans="1:31" hidden="1" x14ac:dyDescent="0.2">
      <c r="A7" s="239" t="s">
        <v>232</v>
      </c>
      <c r="B7" s="237">
        <f>+'Project Size'!D9</f>
        <v>5280</v>
      </c>
    </row>
    <row r="8" spans="1:31" hidden="1" x14ac:dyDescent="0.2">
      <c r="A8" s="237" t="s">
        <v>178</v>
      </c>
      <c r="B8" s="240">
        <v>41533</v>
      </c>
    </row>
    <row r="9" spans="1:31" x14ac:dyDescent="0.2">
      <c r="B9" s="240"/>
    </row>
    <row r="10" spans="1:31" s="245" customFormat="1" ht="22.5" x14ac:dyDescent="0.2">
      <c r="A10" s="241" t="s">
        <v>341</v>
      </c>
      <c r="B10" s="241" t="s">
        <v>66</v>
      </c>
      <c r="C10" s="242" t="s">
        <v>17</v>
      </c>
      <c r="D10" s="242" t="s">
        <v>18</v>
      </c>
      <c r="E10" s="243" t="s">
        <v>47</v>
      </c>
      <c r="F10" s="243" t="s">
        <v>342</v>
      </c>
      <c r="G10" s="293"/>
      <c r="H10" s="244" t="s">
        <v>234</v>
      </c>
      <c r="I10" s="245" t="s">
        <v>205</v>
      </c>
      <c r="J10" s="245" t="s">
        <v>202</v>
      </c>
      <c r="AE10" s="245" t="s">
        <v>409</v>
      </c>
    </row>
    <row r="11" spans="1:31" s="245" customFormat="1" x14ac:dyDescent="0.2">
      <c r="A11" s="241"/>
      <c r="B11" s="241"/>
      <c r="C11" s="242"/>
      <c r="D11" s="242"/>
      <c r="E11" s="243"/>
      <c r="F11" s="243"/>
    </row>
    <row r="12" spans="1:31" s="245" customFormat="1" x14ac:dyDescent="0.2">
      <c r="A12" s="241" t="s">
        <v>2</v>
      </c>
      <c r="B12" s="246"/>
      <c r="C12" s="290">
        <f>E12/B6</f>
        <v>18750</v>
      </c>
      <c r="D12" s="290">
        <f>E12/B7</f>
        <v>14.204545454545455</v>
      </c>
      <c r="E12" s="290">
        <v>75000</v>
      </c>
      <c r="F12" s="291" t="s">
        <v>370</v>
      </c>
      <c r="G12" s="151"/>
      <c r="I12" s="245" t="s">
        <v>371</v>
      </c>
      <c r="J12" s="245" t="s">
        <v>203</v>
      </c>
      <c r="L12" s="245" t="s">
        <v>290</v>
      </c>
      <c r="R12" s="154">
        <f>+E12</f>
        <v>75000</v>
      </c>
      <c r="S12" s="154">
        <f>+E12</f>
        <v>75000</v>
      </c>
      <c r="AE12" s="151">
        <f>E12</f>
        <v>75000</v>
      </c>
    </row>
    <row r="13" spans="1:31" s="245" customFormat="1" x14ac:dyDescent="0.2">
      <c r="A13" s="247"/>
      <c r="B13" s="246"/>
      <c r="C13" s="291"/>
      <c r="D13" s="290"/>
      <c r="E13" s="290"/>
      <c r="F13" s="290"/>
      <c r="AE13" s="238"/>
    </row>
    <row r="14" spans="1:31" x14ac:dyDescent="0.2">
      <c r="A14" s="241" t="s">
        <v>191</v>
      </c>
      <c r="B14" s="246"/>
      <c r="C14" s="290"/>
      <c r="D14" s="290"/>
      <c r="E14" s="291"/>
      <c r="F14" s="291"/>
    </row>
    <row r="15" spans="1:31" x14ac:dyDescent="0.2">
      <c r="A15" s="248" t="s">
        <v>318</v>
      </c>
      <c r="B15" s="246"/>
      <c r="C15" s="291">
        <f t="shared" ref="C15" si="0">E15/$B$6</f>
        <v>0</v>
      </c>
      <c r="D15" s="291">
        <f>E15/$B$7</f>
        <v>0</v>
      </c>
      <c r="E15" s="291">
        <v>0</v>
      </c>
      <c r="F15" s="291"/>
    </row>
    <row r="16" spans="1:31" ht="22.5" x14ac:dyDescent="0.2">
      <c r="A16" s="248" t="s">
        <v>298</v>
      </c>
      <c r="B16" s="249"/>
      <c r="C16" s="291">
        <v>165751.31997894394</v>
      </c>
      <c r="D16" s="292">
        <f>E16/B7</f>
        <v>125.56918180223026</v>
      </c>
      <c r="E16" s="291">
        <f>C16*B6</f>
        <v>663005.27991577575</v>
      </c>
      <c r="F16" s="291" t="s">
        <v>343</v>
      </c>
      <c r="G16" s="251"/>
      <c r="H16" s="251"/>
      <c r="I16" s="251" t="s">
        <v>220</v>
      </c>
      <c r="J16" s="238">
        <v>0</v>
      </c>
    </row>
    <row r="17" spans="1:31" x14ac:dyDescent="0.2">
      <c r="A17" s="248" t="s">
        <v>316</v>
      </c>
      <c r="B17" s="249"/>
      <c r="C17" s="291">
        <f t="shared" ref="C17" si="1">E17/$B$6</f>
        <v>5000</v>
      </c>
      <c r="D17" s="291">
        <v>135</v>
      </c>
      <c r="E17" s="291">
        <v>20000</v>
      </c>
      <c r="F17" s="291" t="s">
        <v>344</v>
      </c>
      <c r="G17" s="251"/>
      <c r="H17" s="251"/>
      <c r="I17" s="251"/>
    </row>
    <row r="18" spans="1:31" x14ac:dyDescent="0.2">
      <c r="A18" s="248" t="s">
        <v>193</v>
      </c>
      <c r="B18" s="250"/>
      <c r="C18" s="291">
        <v>4500</v>
      </c>
      <c r="D18" s="291">
        <f>E18/$B$7</f>
        <v>3.4090909090909092</v>
      </c>
      <c r="E18" s="291">
        <f>C18*B6</f>
        <v>18000</v>
      </c>
      <c r="F18" s="291" t="s">
        <v>345</v>
      </c>
      <c r="G18" s="251"/>
      <c r="H18" s="251"/>
      <c r="I18" s="251"/>
      <c r="J18" s="251">
        <v>0</v>
      </c>
      <c r="AE18" s="151"/>
    </row>
    <row r="19" spans="1:31" x14ac:dyDescent="0.2">
      <c r="A19" s="248" t="s">
        <v>294</v>
      </c>
      <c r="B19" s="250"/>
      <c r="C19" s="291">
        <v>5000</v>
      </c>
      <c r="D19" s="291">
        <f t="shared" ref="D19:D24" si="2">E19/$B$7</f>
        <v>3.7878787878787881</v>
      </c>
      <c r="E19" s="291">
        <f>C19*B6</f>
        <v>20000</v>
      </c>
      <c r="F19" s="291" t="s">
        <v>345</v>
      </c>
      <c r="G19" s="251"/>
      <c r="H19" s="251"/>
      <c r="I19" s="251" t="s">
        <v>237</v>
      </c>
      <c r="J19" s="251"/>
    </row>
    <row r="20" spans="1:31" ht="15.75" customHeight="1" x14ac:dyDescent="0.2">
      <c r="A20" s="248" t="s">
        <v>372</v>
      </c>
      <c r="B20" s="252"/>
      <c r="C20" s="291">
        <f t="shared" ref="C20:C24" si="3">E20/$B$6</f>
        <v>3750</v>
      </c>
      <c r="D20" s="291">
        <f t="shared" si="2"/>
        <v>2.8409090909090908</v>
      </c>
      <c r="E20" s="291">
        <v>15000</v>
      </c>
      <c r="F20" s="291" t="s">
        <v>373</v>
      </c>
      <c r="G20" s="251"/>
      <c r="H20" s="251"/>
      <c r="I20" s="251" t="s">
        <v>226</v>
      </c>
      <c r="J20" s="251">
        <v>26000</v>
      </c>
    </row>
    <row r="21" spans="1:31" s="245" customFormat="1" ht="15.75" customHeight="1" x14ac:dyDescent="0.2">
      <c r="A21" s="241" t="s">
        <v>15</v>
      </c>
      <c r="B21" s="253"/>
      <c r="C21" s="290">
        <f t="shared" si="3"/>
        <v>184001.31997894394</v>
      </c>
      <c r="D21" s="290">
        <f t="shared" si="2"/>
        <v>139.39493937798784</v>
      </c>
      <c r="E21" s="290">
        <f>SUM(E16:E20)</f>
        <v>736005.27991577575</v>
      </c>
      <c r="F21" s="290"/>
      <c r="G21" s="254"/>
      <c r="H21" s="254"/>
      <c r="I21" s="254"/>
      <c r="J21" s="254">
        <f>SUM(J13:J20)</f>
        <v>26000</v>
      </c>
      <c r="AE21" s="238"/>
    </row>
    <row r="22" spans="1:31" ht="15.75" customHeight="1" x14ac:dyDescent="0.2">
      <c r="A22" s="248" t="s">
        <v>238</v>
      </c>
      <c r="B22" s="253"/>
      <c r="C22" s="291">
        <f t="shared" si="3"/>
        <v>625</v>
      </c>
      <c r="D22" s="291">
        <f t="shared" si="2"/>
        <v>0.47348484848484851</v>
      </c>
      <c r="E22" s="291">
        <v>2500</v>
      </c>
      <c r="F22" s="291" t="s">
        <v>346</v>
      </c>
      <c r="G22" s="254"/>
      <c r="H22" s="254"/>
      <c r="I22" s="254"/>
      <c r="J22" s="254"/>
      <c r="AE22" s="151">
        <f>+E22</f>
        <v>2500</v>
      </c>
    </row>
    <row r="23" spans="1:31" x14ac:dyDescent="0.2">
      <c r="A23" s="248" t="s">
        <v>4</v>
      </c>
      <c r="B23" s="255">
        <v>0.05</v>
      </c>
      <c r="C23" s="291">
        <f t="shared" si="3"/>
        <v>9200.0659989471969</v>
      </c>
      <c r="D23" s="291">
        <f t="shared" si="2"/>
        <v>6.9697469688993916</v>
      </c>
      <c r="E23" s="291">
        <f>B23*E21</f>
        <v>36800.263995788788</v>
      </c>
      <c r="F23" s="291" t="s">
        <v>347</v>
      </c>
      <c r="G23" s="251"/>
      <c r="H23" s="251"/>
      <c r="I23" s="251"/>
    </row>
    <row r="24" spans="1:31" s="245" customFormat="1" x14ac:dyDescent="0.2">
      <c r="A24" s="241" t="s">
        <v>5</v>
      </c>
      <c r="B24" s="256"/>
      <c r="C24" s="290">
        <f t="shared" si="3"/>
        <v>193826.38597789113</v>
      </c>
      <c r="D24" s="290">
        <f t="shared" si="2"/>
        <v>146.83817119537207</v>
      </c>
      <c r="E24" s="290">
        <f>SUM(E21:E23)</f>
        <v>775305.54391156451</v>
      </c>
      <c r="F24" s="290"/>
      <c r="G24" s="254"/>
      <c r="H24" s="254"/>
      <c r="I24" s="254"/>
      <c r="J24" s="254">
        <f>J23+J21</f>
        <v>26000</v>
      </c>
      <c r="AE24" s="238"/>
    </row>
    <row r="25" spans="1:31" s="245" customFormat="1" x14ac:dyDescent="0.2">
      <c r="A25" s="241"/>
      <c r="B25" s="257"/>
      <c r="C25" s="291"/>
      <c r="D25" s="290"/>
      <c r="E25" s="290"/>
      <c r="F25" s="290"/>
      <c r="AE25" s="238"/>
    </row>
    <row r="26" spans="1:31" s="245" customFormat="1" x14ac:dyDescent="0.2">
      <c r="A26" s="241" t="s">
        <v>10</v>
      </c>
      <c r="B26" s="246"/>
      <c r="C26" s="291"/>
      <c r="D26" s="291"/>
      <c r="E26" s="290"/>
      <c r="F26" s="290"/>
      <c r="AE26" s="238"/>
    </row>
    <row r="27" spans="1:31" ht="22.5" x14ac:dyDescent="0.2">
      <c r="A27" s="248" t="s">
        <v>295</v>
      </c>
      <c r="B27" s="258"/>
      <c r="C27" s="291">
        <f t="shared" ref="C27:C36" si="4">E27/$B$6</f>
        <v>1875</v>
      </c>
      <c r="D27" s="291">
        <f t="shared" ref="D27:D36" si="5">E27/$B$7</f>
        <v>1.4204545454545454</v>
      </c>
      <c r="E27" s="291">
        <f>2500+5000</f>
        <v>7500</v>
      </c>
      <c r="F27" s="291" t="s">
        <v>348</v>
      </c>
      <c r="G27" s="251"/>
      <c r="H27" s="251"/>
      <c r="I27" s="251" t="s">
        <v>221</v>
      </c>
      <c r="R27" s="151">
        <f>+E27</f>
        <v>7500</v>
      </c>
      <c r="S27" s="151">
        <f>+E27</f>
        <v>7500</v>
      </c>
      <c r="AE27" s="151">
        <f>+E27</f>
        <v>7500</v>
      </c>
    </row>
    <row r="28" spans="1:31" x14ac:dyDescent="0.2">
      <c r="A28" s="248" t="s">
        <v>7</v>
      </c>
      <c r="B28" s="259">
        <f>E28/E21</f>
        <v>4.755400668321999E-2</v>
      </c>
      <c r="C28" s="291">
        <f t="shared" si="4"/>
        <v>8750</v>
      </c>
      <c r="D28" s="291">
        <f t="shared" si="5"/>
        <v>6.6287878787878789</v>
      </c>
      <c r="E28" s="291">
        <v>35000</v>
      </c>
      <c r="F28" s="291" t="s">
        <v>349</v>
      </c>
      <c r="G28" s="251"/>
      <c r="H28" s="251"/>
      <c r="I28" s="251"/>
      <c r="R28" s="151">
        <f>E28/2</f>
        <v>17500</v>
      </c>
      <c r="S28" s="151">
        <f>E28/2</f>
        <v>17500</v>
      </c>
      <c r="AE28" s="251">
        <f>E28*0.75</f>
        <v>26250</v>
      </c>
    </row>
    <row r="29" spans="1:31" x14ac:dyDescent="0.2">
      <c r="A29" s="248" t="s">
        <v>65</v>
      </c>
      <c r="B29" s="260"/>
      <c r="C29" s="291">
        <f t="shared" si="4"/>
        <v>1250</v>
      </c>
      <c r="D29" s="291">
        <f t="shared" si="5"/>
        <v>0.94696969696969702</v>
      </c>
      <c r="E29" s="291">
        <v>5000</v>
      </c>
      <c r="F29" s="291" t="s">
        <v>350</v>
      </c>
      <c r="G29" s="261"/>
      <c r="H29" s="261"/>
      <c r="I29" s="251" t="s">
        <v>227</v>
      </c>
    </row>
    <row r="30" spans="1:31" ht="33.75" x14ac:dyDescent="0.2">
      <c r="A30" s="248" t="s">
        <v>351</v>
      </c>
      <c r="B30" s="258"/>
      <c r="C30" s="291">
        <f t="shared" si="4"/>
        <v>4375</v>
      </c>
      <c r="D30" s="291">
        <f t="shared" si="5"/>
        <v>3.3143939393939394</v>
      </c>
      <c r="E30" s="291">
        <v>17500</v>
      </c>
      <c r="F30" s="294" t="s">
        <v>352</v>
      </c>
      <c r="G30" s="251"/>
      <c r="H30" s="251"/>
      <c r="I30" s="251"/>
      <c r="R30" s="251">
        <f>E30*0.75</f>
        <v>13125</v>
      </c>
      <c r="S30" s="151">
        <f>+E30</f>
        <v>17500</v>
      </c>
      <c r="AE30" s="151">
        <f>+E30</f>
        <v>17500</v>
      </c>
    </row>
    <row r="31" spans="1:31" x14ac:dyDescent="0.2">
      <c r="A31" s="248" t="s">
        <v>8</v>
      </c>
      <c r="B31" s="258"/>
      <c r="C31" s="291">
        <f t="shared" si="4"/>
        <v>1500</v>
      </c>
      <c r="D31" s="291">
        <f t="shared" si="5"/>
        <v>1.1363636363636365</v>
      </c>
      <c r="E31" s="291">
        <v>6000</v>
      </c>
      <c r="F31" s="291" t="s">
        <v>353</v>
      </c>
      <c r="G31" s="251"/>
      <c r="H31" s="251"/>
      <c r="I31" s="251"/>
      <c r="R31" s="151">
        <f>+E31</f>
        <v>6000</v>
      </c>
      <c r="S31" s="151">
        <f>+E31</f>
        <v>6000</v>
      </c>
      <c r="AE31" s="151">
        <f>+E31</f>
        <v>6000</v>
      </c>
    </row>
    <row r="32" spans="1:31" x14ac:dyDescent="0.2">
      <c r="A32" s="248" t="s">
        <v>236</v>
      </c>
      <c r="B32" s="258"/>
      <c r="C32" s="291">
        <f t="shared" si="4"/>
        <v>1750</v>
      </c>
      <c r="D32" s="291">
        <f t="shared" si="5"/>
        <v>1.3257575757575757</v>
      </c>
      <c r="E32" s="291">
        <v>7000</v>
      </c>
      <c r="F32" s="291" t="s">
        <v>353</v>
      </c>
      <c r="G32" s="251"/>
      <c r="H32" s="251"/>
      <c r="I32" s="251"/>
      <c r="R32" s="151">
        <f>+E32</f>
        <v>7000</v>
      </c>
      <c r="S32" s="151">
        <f>+E32</f>
        <v>7000</v>
      </c>
      <c r="AE32" s="151">
        <f>+E32</f>
        <v>7000</v>
      </c>
    </row>
    <row r="33" spans="1:32" x14ac:dyDescent="0.2">
      <c r="A33" s="248" t="s">
        <v>239</v>
      </c>
      <c r="B33" s="258"/>
      <c r="C33" s="291">
        <f t="shared" si="4"/>
        <v>1750</v>
      </c>
      <c r="D33" s="291">
        <f t="shared" si="5"/>
        <v>1.3257575757575757</v>
      </c>
      <c r="E33" s="291">
        <v>7000</v>
      </c>
      <c r="F33" s="291" t="s">
        <v>354</v>
      </c>
      <c r="G33" s="251"/>
      <c r="H33" s="251"/>
      <c r="I33" s="251" t="s">
        <v>228</v>
      </c>
      <c r="R33" s="151">
        <f>+E33</f>
        <v>7000</v>
      </c>
      <c r="S33" s="151">
        <f>+E33</f>
        <v>7000</v>
      </c>
      <c r="AE33" s="151">
        <f>+E33</f>
        <v>7000</v>
      </c>
    </row>
    <row r="34" spans="1:32" ht="15.75" customHeight="1" x14ac:dyDescent="0.2">
      <c r="A34" s="248" t="s">
        <v>9</v>
      </c>
      <c r="B34" s="258"/>
      <c r="C34" s="291">
        <f t="shared" si="4"/>
        <v>1875</v>
      </c>
      <c r="D34" s="291">
        <f t="shared" si="5"/>
        <v>1.4204545454545454</v>
      </c>
      <c r="E34" s="291">
        <v>7500</v>
      </c>
      <c r="F34" s="291" t="s">
        <v>355</v>
      </c>
      <c r="G34" s="251"/>
      <c r="H34" s="251"/>
      <c r="I34" s="251"/>
    </row>
    <row r="35" spans="1:32" x14ac:dyDescent="0.2">
      <c r="A35" s="248" t="s">
        <v>95</v>
      </c>
      <c r="B35" s="252">
        <v>0.05</v>
      </c>
      <c r="C35" s="291">
        <f t="shared" si="4"/>
        <v>2375</v>
      </c>
      <c r="D35" s="291">
        <f t="shared" si="5"/>
        <v>1.7992424242424243</v>
      </c>
      <c r="E35" s="291">
        <v>9500</v>
      </c>
      <c r="F35" s="291" t="s">
        <v>356</v>
      </c>
      <c r="G35" s="251"/>
      <c r="H35" s="251"/>
      <c r="I35" s="251"/>
      <c r="R35" s="151">
        <f>+E35</f>
        <v>9500</v>
      </c>
      <c r="S35" s="151">
        <f>+E35</f>
        <v>9500</v>
      </c>
      <c r="AE35" s="151">
        <f>+E35</f>
        <v>9500</v>
      </c>
      <c r="AF35" s="151">
        <f>SUM(E27:E35)</f>
        <v>102000</v>
      </c>
    </row>
    <row r="36" spans="1:32" s="245" customFormat="1" x14ac:dyDescent="0.2">
      <c r="A36" s="241" t="s">
        <v>14</v>
      </c>
      <c r="B36" s="246"/>
      <c r="C36" s="290">
        <f t="shared" si="4"/>
        <v>25500</v>
      </c>
      <c r="D36" s="290">
        <f t="shared" si="5"/>
        <v>19.318181818181817</v>
      </c>
      <c r="E36" s="290">
        <f>SUM(E27:E35)</f>
        <v>102000</v>
      </c>
      <c r="F36" s="290"/>
      <c r="G36" s="254"/>
      <c r="H36" s="254"/>
      <c r="I36" s="254"/>
      <c r="J36" s="254">
        <f>SUM(J27:J35)</f>
        <v>0</v>
      </c>
      <c r="K36" s="261" t="e">
        <f>#REF!-#REF!</f>
        <v>#REF!</v>
      </c>
      <c r="L36" s="261"/>
      <c r="M36" s="261"/>
      <c r="N36" s="261"/>
      <c r="AE36" s="238"/>
    </row>
    <row r="37" spans="1:32" x14ac:dyDescent="0.2">
      <c r="A37" s="248"/>
      <c r="B37" s="258"/>
      <c r="C37" s="291"/>
      <c r="D37" s="291"/>
      <c r="E37" s="291"/>
      <c r="F37" s="291"/>
    </row>
    <row r="38" spans="1:32" s="245" customFormat="1" x14ac:dyDescent="0.2">
      <c r="A38" s="241" t="s">
        <v>11</v>
      </c>
      <c r="B38" s="246"/>
      <c r="C38" s="291"/>
      <c r="D38" s="291"/>
      <c r="E38" s="290"/>
      <c r="F38" s="290"/>
      <c r="G38" s="261"/>
      <c r="H38" s="261"/>
      <c r="I38" s="261"/>
      <c r="AE38" s="238"/>
    </row>
    <row r="39" spans="1:32" s="245" customFormat="1" x14ac:dyDescent="0.2">
      <c r="A39" s="248" t="s">
        <v>249</v>
      </c>
      <c r="B39" s="246"/>
      <c r="C39" s="291">
        <f t="shared" ref="C39" si="6">E39/$B$6</f>
        <v>3750</v>
      </c>
      <c r="D39" s="291">
        <f t="shared" ref="D39:D54" si="7">E39/$B$7</f>
        <v>2.8409090909090908</v>
      </c>
      <c r="E39" s="291">
        <v>15000</v>
      </c>
      <c r="F39" s="291" t="s">
        <v>358</v>
      </c>
      <c r="G39" s="261"/>
      <c r="H39" s="261"/>
      <c r="I39" s="261"/>
      <c r="AE39" s="238"/>
    </row>
    <row r="40" spans="1:32" s="245" customFormat="1" x14ac:dyDescent="0.2">
      <c r="A40" s="248" t="s">
        <v>248</v>
      </c>
      <c r="B40" s="246"/>
      <c r="C40" s="291">
        <f t="shared" ref="C40" si="8">E40/$B$6</f>
        <v>7500</v>
      </c>
      <c r="D40" s="291">
        <f t="shared" si="7"/>
        <v>5.6818181818181817</v>
      </c>
      <c r="E40" s="291">
        <v>30000</v>
      </c>
      <c r="F40" s="291" t="s">
        <v>357</v>
      </c>
      <c r="G40" s="261"/>
      <c r="H40" s="261"/>
      <c r="I40" s="261"/>
      <c r="R40" s="154">
        <f>+E40</f>
        <v>30000</v>
      </c>
      <c r="S40" s="154">
        <f>+E40</f>
        <v>30000</v>
      </c>
      <c r="AE40" s="151">
        <f>+E40</f>
        <v>30000</v>
      </c>
    </row>
    <row r="41" spans="1:32" s="245" customFormat="1" x14ac:dyDescent="0.2">
      <c r="A41" s="248" t="s">
        <v>250</v>
      </c>
      <c r="B41" s="246"/>
      <c r="C41" s="291">
        <f t="shared" ref="C41" si="9">E41/$B$6</f>
        <v>1250</v>
      </c>
      <c r="D41" s="291">
        <f t="shared" si="7"/>
        <v>0.94696969696969702</v>
      </c>
      <c r="E41" s="291">
        <v>5000</v>
      </c>
      <c r="F41" s="291" t="s">
        <v>359</v>
      </c>
      <c r="G41" s="251"/>
      <c r="H41" s="261"/>
      <c r="I41" s="261"/>
      <c r="R41" s="154">
        <f>+E41</f>
        <v>5000</v>
      </c>
      <c r="S41" s="154">
        <f>+E41</f>
        <v>5000</v>
      </c>
      <c r="AE41" s="151">
        <f>+E41</f>
        <v>5000</v>
      </c>
    </row>
    <row r="42" spans="1:32" s="245" customFormat="1" x14ac:dyDescent="0.2">
      <c r="A42" s="248" t="s">
        <v>374</v>
      </c>
      <c r="B42" s="258"/>
      <c r="C42" s="291">
        <f t="shared" ref="C42:C54" si="10">E42/$B$6</f>
        <v>500</v>
      </c>
      <c r="D42" s="291">
        <f t="shared" si="7"/>
        <v>0.37878787878787878</v>
      </c>
      <c r="E42" s="291">
        <v>2000</v>
      </c>
      <c r="F42" s="291" t="s">
        <v>360</v>
      </c>
      <c r="G42" s="262"/>
      <c r="H42" s="238"/>
      <c r="I42" s="238" t="s">
        <v>222</v>
      </c>
      <c r="R42" s="154">
        <f>+E42</f>
        <v>2000</v>
      </c>
      <c r="S42" s="154">
        <f>+E42</f>
        <v>2000</v>
      </c>
      <c r="AE42" s="151">
        <f>+E42</f>
        <v>2000</v>
      </c>
    </row>
    <row r="43" spans="1:32" s="245" customFormat="1" x14ac:dyDescent="0.2">
      <c r="A43" s="248" t="s">
        <v>64</v>
      </c>
      <c r="B43" s="258"/>
      <c r="C43" s="291">
        <f t="shared" si="10"/>
        <v>750</v>
      </c>
      <c r="D43" s="291">
        <f t="shared" si="7"/>
        <v>0.56818181818181823</v>
      </c>
      <c r="E43" s="291">
        <v>3000</v>
      </c>
      <c r="F43" s="291" t="s">
        <v>361</v>
      </c>
      <c r="I43" s="245" t="s">
        <v>224</v>
      </c>
      <c r="AE43" s="238"/>
    </row>
    <row r="44" spans="1:32" ht="17.25" customHeight="1" x14ac:dyDescent="0.2">
      <c r="A44" s="248" t="s">
        <v>173</v>
      </c>
      <c r="B44" s="258"/>
      <c r="C44" s="291">
        <f t="shared" si="10"/>
        <v>5000</v>
      </c>
      <c r="D44" s="291">
        <f t="shared" si="7"/>
        <v>3.7878787878787881</v>
      </c>
      <c r="E44" s="291">
        <v>20000</v>
      </c>
      <c r="F44" s="291" t="s">
        <v>362</v>
      </c>
      <c r="G44" s="251"/>
      <c r="H44" s="251"/>
      <c r="I44" s="261" t="s">
        <v>223</v>
      </c>
    </row>
    <row r="45" spans="1:32" x14ac:dyDescent="0.2">
      <c r="A45" s="248" t="s">
        <v>77</v>
      </c>
      <c r="B45" s="258"/>
      <c r="C45" s="291">
        <f t="shared" si="10"/>
        <v>2500</v>
      </c>
      <c r="D45" s="291">
        <f t="shared" si="7"/>
        <v>1.893939393939394</v>
      </c>
      <c r="E45" s="291">
        <v>10000</v>
      </c>
      <c r="F45" s="291" t="s">
        <v>363</v>
      </c>
      <c r="I45" s="238" t="s">
        <v>235</v>
      </c>
    </row>
    <row r="46" spans="1:32" x14ac:dyDescent="0.2">
      <c r="A46" s="248" t="s">
        <v>53</v>
      </c>
      <c r="B46" s="258"/>
      <c r="C46" s="291">
        <f t="shared" si="10"/>
        <v>875</v>
      </c>
      <c r="D46" s="291">
        <f t="shared" si="7"/>
        <v>0.66287878787878785</v>
      </c>
      <c r="E46" s="291">
        <v>3500</v>
      </c>
      <c r="F46" s="291" t="s">
        <v>364</v>
      </c>
      <c r="G46" s="251"/>
      <c r="H46" s="251"/>
      <c r="I46" s="251"/>
    </row>
    <row r="47" spans="1:32" x14ac:dyDescent="0.2">
      <c r="A47" s="248" t="s">
        <v>172</v>
      </c>
      <c r="B47" s="258"/>
      <c r="C47" s="291">
        <f t="shared" si="10"/>
        <v>4375</v>
      </c>
      <c r="D47" s="291">
        <f t="shared" si="7"/>
        <v>3.3143939393939394</v>
      </c>
      <c r="E47" s="291">
        <v>17500</v>
      </c>
      <c r="F47" s="291" t="s">
        <v>365</v>
      </c>
      <c r="G47" s="251"/>
      <c r="H47" s="251"/>
      <c r="I47" s="251"/>
      <c r="AE47" s="151"/>
    </row>
    <row r="48" spans="1:32" x14ac:dyDescent="0.2">
      <c r="A48" s="248" t="s">
        <v>12</v>
      </c>
      <c r="B48" s="258"/>
      <c r="C48" s="291">
        <f t="shared" si="10"/>
        <v>2000</v>
      </c>
      <c r="D48" s="291">
        <f t="shared" si="7"/>
        <v>1.5151515151515151</v>
      </c>
      <c r="E48" s="291">
        <v>8000</v>
      </c>
      <c r="F48" s="291" t="s">
        <v>375</v>
      </c>
      <c r="G48" s="251"/>
      <c r="H48" s="251"/>
      <c r="I48" s="251"/>
      <c r="S48" s="151">
        <f>+E48</f>
        <v>8000</v>
      </c>
      <c r="AE48" s="151"/>
    </row>
    <row r="49" spans="1:34" s="245" customFormat="1" hidden="1" x14ac:dyDescent="0.2">
      <c r="A49" s="248" t="s">
        <v>176</v>
      </c>
      <c r="B49" s="258"/>
      <c r="C49" s="291">
        <f t="shared" si="10"/>
        <v>0</v>
      </c>
      <c r="D49" s="291">
        <f t="shared" si="7"/>
        <v>0</v>
      </c>
      <c r="E49" s="290"/>
      <c r="F49" s="290"/>
      <c r="AE49" s="238"/>
    </row>
    <row r="50" spans="1:34" s="245" customFormat="1" hidden="1" x14ac:dyDescent="0.2">
      <c r="A50" s="248" t="s">
        <v>175</v>
      </c>
      <c r="B50" s="255"/>
      <c r="C50" s="291">
        <f t="shared" si="10"/>
        <v>0</v>
      </c>
      <c r="D50" s="291">
        <f t="shared" si="7"/>
        <v>0</v>
      </c>
      <c r="E50" s="290"/>
      <c r="F50" s="290"/>
      <c r="AE50" s="238"/>
    </row>
    <row r="51" spans="1:34" s="245" customFormat="1" hidden="1" x14ac:dyDescent="0.2">
      <c r="A51" s="248" t="s">
        <v>177</v>
      </c>
      <c r="B51" s="258"/>
      <c r="C51" s="291">
        <f t="shared" si="10"/>
        <v>0</v>
      </c>
      <c r="D51" s="291">
        <f t="shared" si="7"/>
        <v>0</v>
      </c>
      <c r="E51" s="290"/>
      <c r="F51" s="290"/>
      <c r="AE51" s="238"/>
    </row>
    <row r="52" spans="1:34" s="245" customFormat="1" x14ac:dyDescent="0.2">
      <c r="A52" s="248" t="s">
        <v>229</v>
      </c>
      <c r="B52" s="255"/>
      <c r="C52" s="291">
        <f t="shared" si="10"/>
        <v>1250</v>
      </c>
      <c r="D52" s="291">
        <f t="shared" si="7"/>
        <v>0.94696969696969702</v>
      </c>
      <c r="E52" s="291">
        <v>5000</v>
      </c>
      <c r="F52" s="291" t="s">
        <v>366</v>
      </c>
      <c r="G52" s="251"/>
      <c r="H52" s="261"/>
      <c r="I52" s="261"/>
      <c r="AE52" s="151"/>
    </row>
    <row r="53" spans="1:34" s="245" customFormat="1" ht="22.5" x14ac:dyDescent="0.2">
      <c r="A53" s="248" t="s">
        <v>225</v>
      </c>
      <c r="B53" s="260"/>
      <c r="C53" s="291">
        <f t="shared" si="10"/>
        <v>1250</v>
      </c>
      <c r="D53" s="291">
        <f t="shared" si="7"/>
        <v>0.94696969696969702</v>
      </c>
      <c r="E53" s="291">
        <v>5000</v>
      </c>
      <c r="F53" s="291" t="s">
        <v>366</v>
      </c>
      <c r="G53" s="251"/>
      <c r="H53" s="261"/>
      <c r="I53" s="261"/>
      <c r="AE53" s="151"/>
    </row>
    <row r="54" spans="1:34" s="245" customFormat="1" x14ac:dyDescent="0.2">
      <c r="A54" s="241" t="s">
        <v>13</v>
      </c>
      <c r="B54" s="263"/>
      <c r="C54" s="290">
        <f t="shared" si="10"/>
        <v>31000</v>
      </c>
      <c r="D54" s="290">
        <f t="shared" si="7"/>
        <v>23.484848484848484</v>
      </c>
      <c r="E54" s="290">
        <f>SUM(E39:E53)</f>
        <v>124000</v>
      </c>
      <c r="F54" s="290"/>
      <c r="G54" s="254"/>
      <c r="H54" s="254"/>
      <c r="I54" s="254"/>
      <c r="J54" s="254">
        <f>SUM(J43:J53)</f>
        <v>0</v>
      </c>
      <c r="K54" s="261" t="e">
        <f>#REF!-#REF!</f>
        <v>#REF!</v>
      </c>
      <c r="L54" s="261"/>
      <c r="M54" s="261"/>
      <c r="N54" s="261"/>
      <c r="R54" s="245">
        <f>SUM(R10:R53)</f>
        <v>179625</v>
      </c>
      <c r="S54" s="245">
        <f>SUM(S10:S53)</f>
        <v>192000</v>
      </c>
      <c r="T54" s="245">
        <f>P54*0.08</f>
        <v>0</v>
      </c>
    </row>
    <row r="55" spans="1:34" x14ac:dyDescent="0.2">
      <c r="A55" s="248"/>
      <c r="B55" s="258"/>
      <c r="C55" s="291"/>
      <c r="D55" s="291"/>
      <c r="E55" s="291"/>
      <c r="F55" s="291"/>
      <c r="AE55" s="295">
        <f>SUM(AE11:AE54)</f>
        <v>195250</v>
      </c>
      <c r="AF55" s="251">
        <f>AE55*0.08</f>
        <v>15620</v>
      </c>
    </row>
    <row r="56" spans="1:34" x14ac:dyDescent="0.2">
      <c r="A56" s="241" t="s">
        <v>15</v>
      </c>
      <c r="B56" s="246"/>
      <c r="C56" s="290">
        <f>E56/B6</f>
        <v>269076.38597789116</v>
      </c>
      <c r="D56" s="290">
        <f>E56/B7</f>
        <v>203.84574695294785</v>
      </c>
      <c r="E56" s="290">
        <f>E54+E36+E24+E12</f>
        <v>1076305.5439115646</v>
      </c>
      <c r="F56" s="290"/>
      <c r="G56" s="254"/>
      <c r="H56" s="254"/>
      <c r="I56" s="254"/>
      <c r="J56" s="254" t="e">
        <f>J54+J36+J24+J12</f>
        <v>#VALUE!</v>
      </c>
      <c r="K56" s="251" t="e">
        <f>#REF!-#REF!</f>
        <v>#REF!</v>
      </c>
      <c r="L56" s="251"/>
      <c r="M56" s="251"/>
      <c r="N56" s="251"/>
    </row>
    <row r="57" spans="1:34" x14ac:dyDescent="0.2">
      <c r="A57" s="241"/>
      <c r="B57" s="246"/>
      <c r="C57" s="291"/>
      <c r="D57" s="291"/>
      <c r="E57" s="291"/>
      <c r="F57" s="291"/>
      <c r="I57" s="264"/>
    </row>
    <row r="58" spans="1:34" x14ac:dyDescent="0.2">
      <c r="A58" s="241" t="s">
        <v>174</v>
      </c>
      <c r="B58" s="246"/>
      <c r="C58" s="291"/>
      <c r="D58" s="291"/>
      <c r="E58" s="291"/>
      <c r="F58" s="291"/>
      <c r="AH58" s="251"/>
    </row>
    <row r="59" spans="1:34" s="267" customFormat="1" x14ac:dyDescent="0.2">
      <c r="A59" s="248" t="s">
        <v>16</v>
      </c>
      <c r="B59" s="255">
        <v>0.1</v>
      </c>
      <c r="C59" s="291">
        <f>E59/$B$6</f>
        <v>26907.638597789119</v>
      </c>
      <c r="D59" s="291">
        <f>E59/$B$7</f>
        <v>20.384574695294788</v>
      </c>
      <c r="E59" s="291">
        <f>B59*E56</f>
        <v>107630.55439115647</v>
      </c>
      <c r="F59" s="291" t="s">
        <v>367</v>
      </c>
      <c r="G59" s="265"/>
      <c r="H59" s="265"/>
      <c r="I59" s="266">
        <f>E59*0.2</f>
        <v>21526.110878231295</v>
      </c>
    </row>
    <row r="60" spans="1:34" s="267" customFormat="1" x14ac:dyDescent="0.2">
      <c r="A60" s="248" t="s">
        <v>369</v>
      </c>
      <c r="B60" s="268"/>
      <c r="C60" s="291">
        <f>E60/$B$6</f>
        <v>1856.8845152287918</v>
      </c>
      <c r="D60" s="291">
        <f>E60/$B$7</f>
        <v>1.4067306933551453</v>
      </c>
      <c r="E60" s="291">
        <f>'Operating B.'!C25*0.25</f>
        <v>7427.5380609151671</v>
      </c>
      <c r="F60" s="291" t="s">
        <v>368</v>
      </c>
      <c r="G60" s="265"/>
      <c r="H60" s="265"/>
      <c r="I60" s="265"/>
    </row>
    <row r="61" spans="1:34" s="244" customFormat="1" x14ac:dyDescent="0.2">
      <c r="A61" s="241" t="s">
        <v>376</v>
      </c>
      <c r="B61" s="246"/>
      <c r="C61" s="290">
        <f>E61/$B$6</f>
        <v>297840.90909090906</v>
      </c>
      <c r="D61" s="290">
        <f>E61/$B$7</f>
        <v>225.63705234159778</v>
      </c>
      <c r="E61" s="290">
        <f>E56+E59+E60</f>
        <v>1191363.6363636362</v>
      </c>
      <c r="F61" s="290"/>
      <c r="G61" s="269"/>
      <c r="H61" s="269">
        <f>G61*0.08</f>
        <v>0</v>
      </c>
      <c r="I61" s="269"/>
      <c r="J61" s="269" t="e">
        <f>SUM(J56:J60)</f>
        <v>#VALUE!</v>
      </c>
      <c r="K61" s="269" t="e">
        <f>SUM(K56:K60)</f>
        <v>#REF!</v>
      </c>
      <c r="L61" s="269"/>
      <c r="M61" s="269" t="s">
        <v>289</v>
      </c>
      <c r="N61" s="269"/>
      <c r="O61" s="270">
        <f>+G61</f>
        <v>0</v>
      </c>
    </row>
    <row r="62" spans="1:34" s="244" customFormat="1" x14ac:dyDescent="0.2">
      <c r="A62" s="241"/>
      <c r="B62" s="246"/>
      <c r="C62" s="290"/>
      <c r="D62" s="290"/>
      <c r="E62" s="290"/>
      <c r="F62" s="290"/>
      <c r="G62" s="269"/>
      <c r="H62" s="269"/>
      <c r="I62" s="269"/>
      <c r="J62" s="269"/>
      <c r="K62" s="269"/>
      <c r="L62" s="269"/>
      <c r="M62" s="269"/>
      <c r="N62" s="269"/>
      <c r="O62" s="270"/>
    </row>
    <row r="63" spans="1:34" s="244" customFormat="1" x14ac:dyDescent="0.2">
      <c r="A63" s="241" t="s">
        <v>179</v>
      </c>
      <c r="B63" s="246"/>
      <c r="C63" s="290"/>
      <c r="D63" s="290"/>
      <c r="E63" s="290"/>
      <c r="F63" s="290"/>
      <c r="G63" s="269"/>
      <c r="H63" s="269"/>
      <c r="I63" s="269"/>
      <c r="J63" s="269"/>
      <c r="K63" s="269"/>
      <c r="L63" s="269"/>
      <c r="M63" s="269"/>
      <c r="N63" s="269"/>
      <c r="O63" s="270"/>
    </row>
    <row r="64" spans="1:34" s="244" customFormat="1" x14ac:dyDescent="0.2">
      <c r="A64" s="248" t="str">
        <f>+A70</f>
        <v>Neighborhood Enhancement Program</v>
      </c>
      <c r="B64" s="258"/>
      <c r="C64" s="291">
        <f t="shared" ref="C64:C66" si="11">E64/$B$6</f>
        <v>225000</v>
      </c>
      <c r="D64" s="291">
        <f t="shared" ref="D64:D66" si="12">E64/$B$7</f>
        <v>170.45454545454547</v>
      </c>
      <c r="E64" s="291">
        <f>+E70</f>
        <v>900000</v>
      </c>
      <c r="F64" s="291"/>
      <c r="G64" s="269"/>
      <c r="H64" s="269"/>
      <c r="I64" s="269"/>
      <c r="J64" s="269"/>
      <c r="K64" s="269"/>
      <c r="L64" s="269"/>
      <c r="M64" s="269"/>
      <c r="N64" s="269"/>
      <c r="O64" s="270"/>
    </row>
    <row r="65" spans="1:31" s="244" customFormat="1" x14ac:dyDescent="0.2">
      <c r="A65" s="248" t="s">
        <v>317</v>
      </c>
      <c r="B65" s="258"/>
      <c r="C65" s="291">
        <f t="shared" si="11"/>
        <v>49090.909090909088</v>
      </c>
      <c r="D65" s="291">
        <f t="shared" si="12"/>
        <v>37.190082644628099</v>
      </c>
      <c r="E65" s="291">
        <f>+E71</f>
        <v>196363.63636363635</v>
      </c>
      <c r="F65" s="291"/>
      <c r="G65" s="269"/>
      <c r="H65" s="269"/>
      <c r="I65" s="269"/>
      <c r="J65" s="269"/>
      <c r="K65" s="269"/>
      <c r="L65" s="269"/>
      <c r="M65" s="269"/>
      <c r="N65" s="269"/>
      <c r="O65" s="270"/>
    </row>
    <row r="66" spans="1:31" s="244" customFormat="1" x14ac:dyDescent="0.2">
      <c r="A66" s="248" t="s">
        <v>314</v>
      </c>
      <c r="B66" s="258"/>
      <c r="C66" s="291">
        <f t="shared" si="11"/>
        <v>23749.999999999975</v>
      </c>
      <c r="D66" s="291">
        <f t="shared" si="12"/>
        <v>17.992424242424224</v>
      </c>
      <c r="E66" s="291">
        <f>+E72</f>
        <v>94999.999999999898</v>
      </c>
      <c r="F66" s="291"/>
      <c r="G66" s="269"/>
      <c r="H66" s="269"/>
      <c r="I66" s="269"/>
      <c r="J66" s="269"/>
      <c r="K66" s="269"/>
      <c r="L66" s="269"/>
      <c r="M66" s="269"/>
      <c r="N66" s="269"/>
      <c r="O66" s="270"/>
      <c r="S66" s="270"/>
      <c r="T66" s="270">
        <f>E66*0.08</f>
        <v>7599.9999999999918</v>
      </c>
      <c r="AE66" s="270"/>
    </row>
    <row r="67" spans="1:31" s="244" customFormat="1" x14ac:dyDescent="0.2">
      <c r="A67" s="241" t="s">
        <v>315</v>
      </c>
      <c r="B67" s="246"/>
      <c r="C67" s="290">
        <f>SUM(C64:C66)</f>
        <v>297840.90909090906</v>
      </c>
      <c r="D67" s="290">
        <f>SUM(D64:D66)</f>
        <v>225.63705234159778</v>
      </c>
      <c r="E67" s="290">
        <f>SUM(E64:E66)</f>
        <v>1191363.6363636362</v>
      </c>
      <c r="F67" s="290"/>
      <c r="G67" s="269"/>
      <c r="H67" s="269"/>
      <c r="I67" s="269"/>
      <c r="J67" s="269"/>
      <c r="K67" s="269"/>
      <c r="L67" s="269"/>
      <c r="M67" s="269"/>
      <c r="N67" s="269"/>
      <c r="O67" s="270"/>
    </row>
    <row r="68" spans="1:31" s="267" customFormat="1" x14ac:dyDescent="0.2">
      <c r="A68" s="248"/>
      <c r="B68" s="258"/>
      <c r="C68" s="291"/>
      <c r="D68" s="291"/>
      <c r="E68" s="291"/>
      <c r="F68" s="291"/>
      <c r="I68" s="271"/>
      <c r="M68" s="267" t="s">
        <v>292</v>
      </c>
      <c r="O68" s="265" t="e">
        <f>O61-#REF!</f>
        <v>#REF!</v>
      </c>
    </row>
    <row r="69" spans="1:31" s="267" customFormat="1" x14ac:dyDescent="0.2">
      <c r="A69" s="241" t="s">
        <v>231</v>
      </c>
      <c r="B69" s="258"/>
      <c r="C69" s="291"/>
      <c r="D69" s="291"/>
      <c r="E69" s="291"/>
      <c r="F69" s="291"/>
      <c r="M69" s="267" t="s">
        <v>92</v>
      </c>
      <c r="N69" s="272">
        <v>7.4999999999999997E-2</v>
      </c>
    </row>
    <row r="70" spans="1:31" s="267" customFormat="1" x14ac:dyDescent="0.2">
      <c r="A70" s="248" t="s">
        <v>309</v>
      </c>
      <c r="B70" s="258"/>
      <c r="C70" s="291">
        <v>225000</v>
      </c>
      <c r="D70" s="291">
        <f t="shared" ref="D70" si="13">E70/$B$7</f>
        <v>170.45454545454547</v>
      </c>
      <c r="E70" s="291">
        <f>C70*B6</f>
        <v>900000</v>
      </c>
      <c r="F70" s="291"/>
      <c r="N70" s="272"/>
    </row>
    <row r="71" spans="1:31" s="267" customFormat="1" x14ac:dyDescent="0.2">
      <c r="A71" s="248" t="s">
        <v>317</v>
      </c>
      <c r="B71" s="258"/>
      <c r="C71" s="291">
        <f t="shared" ref="C71:C74" si="14">E71/$B$6</f>
        <v>49090.909090909088</v>
      </c>
      <c r="D71" s="291">
        <f t="shared" ref="D71:D74" si="15">E71/$B$7</f>
        <v>37.190082644628099</v>
      </c>
      <c r="E71" s="291">
        <f>(600000*0.9)/11*B6</f>
        <v>196363.63636363635</v>
      </c>
      <c r="F71" s="291"/>
      <c r="G71" s="265"/>
      <c r="H71" s="265"/>
      <c r="I71" s="265"/>
      <c r="K71" s="267">
        <v>1540000</v>
      </c>
      <c r="M71" s="267" t="s">
        <v>293</v>
      </c>
      <c r="O71" s="265" t="e">
        <f>N69*O68</f>
        <v>#REF!</v>
      </c>
      <c r="AE71" s="297"/>
    </row>
    <row r="72" spans="1:31" s="267" customFormat="1" x14ac:dyDescent="0.2">
      <c r="A72" s="248" t="s">
        <v>299</v>
      </c>
      <c r="B72" s="260"/>
      <c r="C72" s="291">
        <f t="shared" si="14"/>
        <v>23749.999999999975</v>
      </c>
      <c r="D72" s="291">
        <f t="shared" si="15"/>
        <v>17.992424242424224</v>
      </c>
      <c r="E72" s="291">
        <f>+'Operating B.'!D38</f>
        <v>94999.999999999898</v>
      </c>
      <c r="F72" s="291"/>
      <c r="G72" s="265"/>
      <c r="H72" s="265"/>
      <c r="I72" s="265"/>
      <c r="K72" s="265">
        <v>322826</v>
      </c>
      <c r="L72" s="265"/>
      <c r="M72" s="265" t="s">
        <v>92</v>
      </c>
      <c r="N72" s="272">
        <v>7.4999999999999997E-2</v>
      </c>
      <c r="AE72" s="265"/>
    </row>
    <row r="73" spans="1:31" s="244" customFormat="1" x14ac:dyDescent="0.2">
      <c r="A73" s="241" t="s">
        <v>233</v>
      </c>
      <c r="B73" s="246"/>
      <c r="C73" s="290">
        <f t="shared" si="14"/>
        <v>297840.90909090906</v>
      </c>
      <c r="D73" s="290">
        <f t="shared" si="15"/>
        <v>225.63705234159778</v>
      </c>
      <c r="E73" s="290">
        <f>SUM(E70:E72)</f>
        <v>1191363.6363636362</v>
      </c>
      <c r="F73" s="290"/>
      <c r="G73" s="269"/>
      <c r="H73" s="269"/>
      <c r="I73" s="269"/>
      <c r="J73" s="269">
        <f>SUM(J71:J72)</f>
        <v>0</v>
      </c>
      <c r="K73" s="269">
        <f>SUM(K71:K72)</f>
        <v>1862826</v>
      </c>
      <c r="L73" s="269"/>
      <c r="M73" s="269" t="s">
        <v>293</v>
      </c>
      <c r="N73" s="269"/>
      <c r="O73" s="270" t="e">
        <f>#REF!*N72</f>
        <v>#REF!</v>
      </c>
    </row>
    <row r="74" spans="1:31" s="276" customFormat="1" hidden="1" x14ac:dyDescent="0.2">
      <c r="A74" s="273"/>
      <c r="B74" s="273"/>
      <c r="C74" s="274">
        <f t="shared" si="14"/>
        <v>0</v>
      </c>
      <c r="D74" s="274">
        <f t="shared" si="15"/>
        <v>0</v>
      </c>
      <c r="E74" s="275">
        <f>E61-E73</f>
        <v>0</v>
      </c>
      <c r="F74" s="275"/>
      <c r="M74" s="276" t="s">
        <v>296</v>
      </c>
      <c r="N74" s="277">
        <v>1.4999999999999999E-2</v>
      </c>
      <c r="O74" s="278" t="e">
        <f>N74*O73</f>
        <v>#REF!</v>
      </c>
    </row>
    <row r="75" spans="1:31" s="267" customFormat="1" hidden="1" x14ac:dyDescent="0.2">
      <c r="A75" s="279"/>
      <c r="B75" s="273"/>
      <c r="C75" s="280"/>
      <c r="D75" s="280"/>
      <c r="E75" s="281"/>
      <c r="F75" s="281"/>
    </row>
    <row r="76" spans="1:31" s="267" customFormat="1" hidden="1" x14ac:dyDescent="0.2">
      <c r="A76" s="282" t="s">
        <v>179</v>
      </c>
      <c r="B76" s="273"/>
      <c r="C76" s="280"/>
      <c r="D76" s="280"/>
      <c r="E76" s="281"/>
      <c r="F76" s="281"/>
    </row>
    <row r="77" spans="1:31" s="267" customFormat="1" hidden="1" x14ac:dyDescent="0.2">
      <c r="A77" s="279" t="str">
        <f>+A71</f>
        <v>NRTC Funds</v>
      </c>
      <c r="B77" s="279"/>
      <c r="C77" s="283">
        <f t="shared" ref="C77:C83" si="16">E77/$B$6</f>
        <v>49090.909090909088</v>
      </c>
      <c r="D77" s="283">
        <f t="shared" ref="D77:D83" si="17">E77/$B$7</f>
        <v>37.190082644628099</v>
      </c>
      <c r="E77" s="281">
        <f>+E71</f>
        <v>196363.63636363635</v>
      </c>
      <c r="F77" s="281"/>
      <c r="I77" s="265" t="e">
        <f>#REF!/15000</f>
        <v>#REF!</v>
      </c>
    </row>
    <row r="78" spans="1:31" hidden="1" x14ac:dyDescent="0.2">
      <c r="C78" s="283">
        <f t="shared" si="16"/>
        <v>0</v>
      </c>
      <c r="D78" s="283">
        <f t="shared" si="17"/>
        <v>0</v>
      </c>
      <c r="E78" s="284"/>
      <c r="F78" s="284"/>
    </row>
    <row r="79" spans="1:31" hidden="1" x14ac:dyDescent="0.2">
      <c r="A79" s="237" t="e">
        <f>+#REF!</f>
        <v>#REF!</v>
      </c>
      <c r="C79" s="283" t="e">
        <f t="shared" si="16"/>
        <v>#REF!</v>
      </c>
      <c r="D79" s="283" t="e">
        <f t="shared" si="17"/>
        <v>#REF!</v>
      </c>
      <c r="E79" s="284" t="e">
        <f>+#REF!</f>
        <v>#REF!</v>
      </c>
      <c r="F79" s="284"/>
    </row>
    <row r="80" spans="1:31" hidden="1" x14ac:dyDescent="0.2">
      <c r="A80" s="237" t="e">
        <f>+#REF!</f>
        <v>#REF!</v>
      </c>
      <c r="C80" s="283" t="e">
        <f t="shared" si="16"/>
        <v>#REF!</v>
      </c>
      <c r="D80" s="283" t="e">
        <f t="shared" si="17"/>
        <v>#REF!</v>
      </c>
      <c r="E80" s="284" t="e">
        <f>+#REF!</f>
        <v>#REF!</v>
      </c>
      <c r="F80" s="284"/>
    </row>
    <row r="81" spans="1:7" hidden="1" x14ac:dyDescent="0.2">
      <c r="C81" s="283"/>
      <c r="D81" s="283"/>
      <c r="E81" s="284"/>
      <c r="F81" s="284"/>
    </row>
    <row r="82" spans="1:7" hidden="1" x14ac:dyDescent="0.2">
      <c r="A82" s="237" t="s">
        <v>286</v>
      </c>
      <c r="C82" s="283">
        <f t="shared" si="16"/>
        <v>125994.29168786691</v>
      </c>
      <c r="D82" s="283">
        <f t="shared" si="17"/>
        <v>95.450220975656748</v>
      </c>
      <c r="E82" s="284">
        <v>503977.16675146762</v>
      </c>
      <c r="F82" s="284"/>
      <c r="G82" s="251"/>
    </row>
    <row r="83" spans="1:7" s="245" customFormat="1" hidden="1" x14ac:dyDescent="0.2">
      <c r="A83" s="236" t="s">
        <v>19</v>
      </c>
      <c r="B83" s="236"/>
      <c r="C83" s="285" t="e">
        <f t="shared" si="16"/>
        <v>#REF!</v>
      </c>
      <c r="D83" s="285" t="e">
        <f t="shared" si="17"/>
        <v>#REF!</v>
      </c>
      <c r="E83" s="286" t="e">
        <f>SUM(E77:E82)</f>
        <v>#REF!</v>
      </c>
      <c r="F83" s="286"/>
      <c r="G83" s="261"/>
    </row>
    <row r="84" spans="1:7" s="289" customFormat="1" hidden="1" x14ac:dyDescent="0.2">
      <c r="A84" s="287"/>
      <c r="B84" s="287"/>
      <c r="C84" s="287"/>
      <c r="D84" s="287"/>
      <c r="E84" s="288" t="e">
        <f>E83-E73</f>
        <v>#REF!</v>
      </c>
      <c r="F84" s="288"/>
    </row>
    <row r="85" spans="1:7" hidden="1" x14ac:dyDescent="0.2"/>
    <row r="86" spans="1:7" hidden="1" x14ac:dyDescent="0.2"/>
    <row r="87" spans="1:7" x14ac:dyDescent="0.2">
      <c r="E87" s="151">
        <f>E61-E73</f>
        <v>0</v>
      </c>
    </row>
  </sheetData>
  <phoneticPr fontId="3" type="noConversion"/>
  <pageMargins left="0.25" right="0.26" top="0.28000000000000003" bottom="0.34" header="0.5" footer="0.33"/>
  <pageSetup scale="80" orientation="portrait" r:id="rId1"/>
  <headerFooter alignWithMargins="0">
    <oddFooter>&amp;LLast Revised &amp;D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6"/>
  <sheetViews>
    <sheetView workbookViewId="0">
      <selection activeCell="C7" sqref="C7"/>
    </sheetView>
  </sheetViews>
  <sheetFormatPr defaultRowHeight="12.75" x14ac:dyDescent="0.2"/>
  <cols>
    <col min="3" max="3" width="14" bestFit="1" customWidth="1"/>
  </cols>
  <sheetData>
    <row r="1" spans="1:3" ht="15.75" x14ac:dyDescent="0.25">
      <c r="A1" s="96" t="s">
        <v>167</v>
      </c>
      <c r="B1" s="96"/>
      <c r="C1" s="96"/>
    </row>
    <row r="2" spans="1:3" ht="15.75" x14ac:dyDescent="0.25">
      <c r="A2" s="97" t="s">
        <v>168</v>
      </c>
      <c r="B2" s="97"/>
      <c r="C2" s="98"/>
    </row>
    <row r="3" spans="1:3" ht="15.75" x14ac:dyDescent="0.25">
      <c r="A3" s="97" t="s">
        <v>169</v>
      </c>
      <c r="B3" s="97"/>
      <c r="C3" s="99"/>
    </row>
    <row r="4" spans="1:3" ht="15.75" x14ac:dyDescent="0.25">
      <c r="A4" s="97" t="s">
        <v>170</v>
      </c>
      <c r="B4" s="97"/>
      <c r="C4" s="98">
        <v>150300</v>
      </c>
    </row>
    <row r="5" spans="1:3" ht="15.75" x14ac:dyDescent="0.25">
      <c r="A5" s="97" t="s">
        <v>55</v>
      </c>
      <c r="B5" s="97"/>
      <c r="C5" s="100">
        <f>69.03/1000</f>
        <v>6.9030000000000008E-2</v>
      </c>
    </row>
    <row r="6" spans="1:3" ht="15.75" x14ac:dyDescent="0.25">
      <c r="A6" s="101" t="s">
        <v>171</v>
      </c>
      <c r="B6" s="101"/>
      <c r="C6" s="102">
        <f>C5*C4</f>
        <v>10375.209000000001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L31"/>
  <sheetViews>
    <sheetView workbookViewId="0">
      <selection activeCell="A33" sqref="A33"/>
    </sheetView>
  </sheetViews>
  <sheetFormatPr defaultRowHeight="15" x14ac:dyDescent="0.25"/>
  <cols>
    <col min="1" max="1" width="44.140625" bestFit="1" customWidth="1"/>
    <col min="2" max="2" width="43.5703125" hidden="1" customWidth="1"/>
    <col min="3" max="3" width="10.140625" hidden="1" customWidth="1"/>
    <col min="4" max="4" width="20.42578125" style="193" hidden="1" customWidth="1"/>
    <col min="5" max="5" width="21.85546875" style="193" bestFit="1" customWidth="1"/>
    <col min="6" max="6" width="16.140625" style="193" bestFit="1" customWidth="1"/>
    <col min="7" max="7" width="15.5703125" style="186" customWidth="1"/>
    <col min="8" max="8" width="14.42578125" style="187" bestFit="1" customWidth="1"/>
    <col min="9" max="9" width="32.5703125" style="187" bestFit="1" customWidth="1"/>
    <col min="10" max="10" width="34.42578125" style="187" bestFit="1" customWidth="1"/>
    <col min="11" max="11" width="5.5703125" style="187" customWidth="1"/>
    <col min="12" max="12" width="26.140625" bestFit="1" customWidth="1"/>
    <col min="257" max="257" width="44.140625" bestFit="1" customWidth="1"/>
    <col min="258" max="258" width="43.5703125" bestFit="1" customWidth="1"/>
    <col min="259" max="259" width="0" hidden="1" customWidth="1"/>
    <col min="260" max="260" width="20.42578125" bestFit="1" customWidth="1"/>
    <col min="261" max="261" width="21.85546875" bestFit="1" customWidth="1"/>
    <col min="262" max="262" width="16.140625" bestFit="1" customWidth="1"/>
    <col min="263" max="263" width="15.5703125" customWidth="1"/>
    <col min="264" max="264" width="14.42578125" bestFit="1" customWidth="1"/>
    <col min="265" max="265" width="32.5703125" bestFit="1" customWidth="1"/>
    <col min="266" max="266" width="34.42578125" bestFit="1" customWidth="1"/>
    <col min="267" max="267" width="5.5703125" customWidth="1"/>
    <col min="268" max="268" width="26.140625" bestFit="1" customWidth="1"/>
    <col min="513" max="513" width="44.140625" bestFit="1" customWidth="1"/>
    <col min="514" max="514" width="43.5703125" bestFit="1" customWidth="1"/>
    <col min="515" max="515" width="0" hidden="1" customWidth="1"/>
    <col min="516" max="516" width="20.42578125" bestFit="1" customWidth="1"/>
    <col min="517" max="517" width="21.85546875" bestFit="1" customWidth="1"/>
    <col min="518" max="518" width="16.140625" bestFit="1" customWidth="1"/>
    <col min="519" max="519" width="15.5703125" customWidth="1"/>
    <col min="520" max="520" width="14.42578125" bestFit="1" customWidth="1"/>
    <col min="521" max="521" width="32.5703125" bestFit="1" customWidth="1"/>
    <col min="522" max="522" width="34.42578125" bestFit="1" customWidth="1"/>
    <col min="523" max="523" width="5.5703125" customWidth="1"/>
    <col min="524" max="524" width="26.140625" bestFit="1" customWidth="1"/>
    <col min="769" max="769" width="44.140625" bestFit="1" customWidth="1"/>
    <col min="770" max="770" width="43.5703125" bestFit="1" customWidth="1"/>
    <col min="771" max="771" width="0" hidden="1" customWidth="1"/>
    <col min="772" max="772" width="20.42578125" bestFit="1" customWidth="1"/>
    <col min="773" max="773" width="21.85546875" bestFit="1" customWidth="1"/>
    <col min="774" max="774" width="16.140625" bestFit="1" customWidth="1"/>
    <col min="775" max="775" width="15.5703125" customWidth="1"/>
    <col min="776" max="776" width="14.42578125" bestFit="1" customWidth="1"/>
    <col min="777" max="777" width="32.5703125" bestFit="1" customWidth="1"/>
    <col min="778" max="778" width="34.42578125" bestFit="1" customWidth="1"/>
    <col min="779" max="779" width="5.5703125" customWidth="1"/>
    <col min="780" max="780" width="26.140625" bestFit="1" customWidth="1"/>
    <col min="1025" max="1025" width="44.140625" bestFit="1" customWidth="1"/>
    <col min="1026" max="1026" width="43.5703125" bestFit="1" customWidth="1"/>
    <col min="1027" max="1027" width="0" hidden="1" customWidth="1"/>
    <col min="1028" max="1028" width="20.42578125" bestFit="1" customWidth="1"/>
    <col min="1029" max="1029" width="21.85546875" bestFit="1" customWidth="1"/>
    <col min="1030" max="1030" width="16.140625" bestFit="1" customWidth="1"/>
    <col min="1031" max="1031" width="15.5703125" customWidth="1"/>
    <col min="1032" max="1032" width="14.42578125" bestFit="1" customWidth="1"/>
    <col min="1033" max="1033" width="32.5703125" bestFit="1" customWidth="1"/>
    <col min="1034" max="1034" width="34.42578125" bestFit="1" customWidth="1"/>
    <col min="1035" max="1035" width="5.5703125" customWidth="1"/>
    <col min="1036" max="1036" width="26.140625" bestFit="1" customWidth="1"/>
    <col min="1281" max="1281" width="44.140625" bestFit="1" customWidth="1"/>
    <col min="1282" max="1282" width="43.5703125" bestFit="1" customWidth="1"/>
    <col min="1283" max="1283" width="0" hidden="1" customWidth="1"/>
    <col min="1284" max="1284" width="20.42578125" bestFit="1" customWidth="1"/>
    <col min="1285" max="1285" width="21.85546875" bestFit="1" customWidth="1"/>
    <col min="1286" max="1286" width="16.140625" bestFit="1" customWidth="1"/>
    <col min="1287" max="1287" width="15.5703125" customWidth="1"/>
    <col min="1288" max="1288" width="14.42578125" bestFit="1" customWidth="1"/>
    <col min="1289" max="1289" width="32.5703125" bestFit="1" customWidth="1"/>
    <col min="1290" max="1290" width="34.42578125" bestFit="1" customWidth="1"/>
    <col min="1291" max="1291" width="5.5703125" customWidth="1"/>
    <col min="1292" max="1292" width="26.140625" bestFit="1" customWidth="1"/>
    <col min="1537" max="1537" width="44.140625" bestFit="1" customWidth="1"/>
    <col min="1538" max="1538" width="43.5703125" bestFit="1" customWidth="1"/>
    <col min="1539" max="1539" width="0" hidden="1" customWidth="1"/>
    <col min="1540" max="1540" width="20.42578125" bestFit="1" customWidth="1"/>
    <col min="1541" max="1541" width="21.85546875" bestFit="1" customWidth="1"/>
    <col min="1542" max="1542" width="16.140625" bestFit="1" customWidth="1"/>
    <col min="1543" max="1543" width="15.5703125" customWidth="1"/>
    <col min="1544" max="1544" width="14.42578125" bestFit="1" customWidth="1"/>
    <col min="1545" max="1545" width="32.5703125" bestFit="1" customWidth="1"/>
    <col min="1546" max="1546" width="34.42578125" bestFit="1" customWidth="1"/>
    <col min="1547" max="1547" width="5.5703125" customWidth="1"/>
    <col min="1548" max="1548" width="26.140625" bestFit="1" customWidth="1"/>
    <col min="1793" max="1793" width="44.140625" bestFit="1" customWidth="1"/>
    <col min="1794" max="1794" width="43.5703125" bestFit="1" customWidth="1"/>
    <col min="1795" max="1795" width="0" hidden="1" customWidth="1"/>
    <col min="1796" max="1796" width="20.42578125" bestFit="1" customWidth="1"/>
    <col min="1797" max="1797" width="21.85546875" bestFit="1" customWidth="1"/>
    <col min="1798" max="1798" width="16.140625" bestFit="1" customWidth="1"/>
    <col min="1799" max="1799" width="15.5703125" customWidth="1"/>
    <col min="1800" max="1800" width="14.42578125" bestFit="1" customWidth="1"/>
    <col min="1801" max="1801" width="32.5703125" bestFit="1" customWidth="1"/>
    <col min="1802" max="1802" width="34.42578125" bestFit="1" customWidth="1"/>
    <col min="1803" max="1803" width="5.5703125" customWidth="1"/>
    <col min="1804" max="1804" width="26.140625" bestFit="1" customWidth="1"/>
    <col min="2049" max="2049" width="44.140625" bestFit="1" customWidth="1"/>
    <col min="2050" max="2050" width="43.5703125" bestFit="1" customWidth="1"/>
    <col min="2051" max="2051" width="0" hidden="1" customWidth="1"/>
    <col min="2052" max="2052" width="20.42578125" bestFit="1" customWidth="1"/>
    <col min="2053" max="2053" width="21.85546875" bestFit="1" customWidth="1"/>
    <col min="2054" max="2054" width="16.140625" bestFit="1" customWidth="1"/>
    <col min="2055" max="2055" width="15.5703125" customWidth="1"/>
    <col min="2056" max="2056" width="14.42578125" bestFit="1" customWidth="1"/>
    <col min="2057" max="2057" width="32.5703125" bestFit="1" customWidth="1"/>
    <col min="2058" max="2058" width="34.42578125" bestFit="1" customWidth="1"/>
    <col min="2059" max="2059" width="5.5703125" customWidth="1"/>
    <col min="2060" max="2060" width="26.140625" bestFit="1" customWidth="1"/>
    <col min="2305" max="2305" width="44.140625" bestFit="1" customWidth="1"/>
    <col min="2306" max="2306" width="43.5703125" bestFit="1" customWidth="1"/>
    <col min="2307" max="2307" width="0" hidden="1" customWidth="1"/>
    <col min="2308" max="2308" width="20.42578125" bestFit="1" customWidth="1"/>
    <col min="2309" max="2309" width="21.85546875" bestFit="1" customWidth="1"/>
    <col min="2310" max="2310" width="16.140625" bestFit="1" customWidth="1"/>
    <col min="2311" max="2311" width="15.5703125" customWidth="1"/>
    <col min="2312" max="2312" width="14.42578125" bestFit="1" customWidth="1"/>
    <col min="2313" max="2313" width="32.5703125" bestFit="1" customWidth="1"/>
    <col min="2314" max="2314" width="34.42578125" bestFit="1" customWidth="1"/>
    <col min="2315" max="2315" width="5.5703125" customWidth="1"/>
    <col min="2316" max="2316" width="26.140625" bestFit="1" customWidth="1"/>
    <col min="2561" max="2561" width="44.140625" bestFit="1" customWidth="1"/>
    <col min="2562" max="2562" width="43.5703125" bestFit="1" customWidth="1"/>
    <col min="2563" max="2563" width="0" hidden="1" customWidth="1"/>
    <col min="2564" max="2564" width="20.42578125" bestFit="1" customWidth="1"/>
    <col min="2565" max="2565" width="21.85546875" bestFit="1" customWidth="1"/>
    <col min="2566" max="2566" width="16.140625" bestFit="1" customWidth="1"/>
    <col min="2567" max="2567" width="15.5703125" customWidth="1"/>
    <col min="2568" max="2568" width="14.42578125" bestFit="1" customWidth="1"/>
    <col min="2569" max="2569" width="32.5703125" bestFit="1" customWidth="1"/>
    <col min="2570" max="2570" width="34.42578125" bestFit="1" customWidth="1"/>
    <col min="2571" max="2571" width="5.5703125" customWidth="1"/>
    <col min="2572" max="2572" width="26.140625" bestFit="1" customWidth="1"/>
    <col min="2817" max="2817" width="44.140625" bestFit="1" customWidth="1"/>
    <col min="2818" max="2818" width="43.5703125" bestFit="1" customWidth="1"/>
    <col min="2819" max="2819" width="0" hidden="1" customWidth="1"/>
    <col min="2820" max="2820" width="20.42578125" bestFit="1" customWidth="1"/>
    <col min="2821" max="2821" width="21.85546875" bestFit="1" customWidth="1"/>
    <col min="2822" max="2822" width="16.140625" bestFit="1" customWidth="1"/>
    <col min="2823" max="2823" width="15.5703125" customWidth="1"/>
    <col min="2824" max="2824" width="14.42578125" bestFit="1" customWidth="1"/>
    <col min="2825" max="2825" width="32.5703125" bestFit="1" customWidth="1"/>
    <col min="2826" max="2826" width="34.42578125" bestFit="1" customWidth="1"/>
    <col min="2827" max="2827" width="5.5703125" customWidth="1"/>
    <col min="2828" max="2828" width="26.140625" bestFit="1" customWidth="1"/>
    <col min="3073" max="3073" width="44.140625" bestFit="1" customWidth="1"/>
    <col min="3074" max="3074" width="43.5703125" bestFit="1" customWidth="1"/>
    <col min="3075" max="3075" width="0" hidden="1" customWidth="1"/>
    <col min="3076" max="3076" width="20.42578125" bestFit="1" customWidth="1"/>
    <col min="3077" max="3077" width="21.85546875" bestFit="1" customWidth="1"/>
    <col min="3078" max="3078" width="16.140625" bestFit="1" customWidth="1"/>
    <col min="3079" max="3079" width="15.5703125" customWidth="1"/>
    <col min="3080" max="3080" width="14.42578125" bestFit="1" customWidth="1"/>
    <col min="3081" max="3081" width="32.5703125" bestFit="1" customWidth="1"/>
    <col min="3082" max="3082" width="34.42578125" bestFit="1" customWidth="1"/>
    <col min="3083" max="3083" width="5.5703125" customWidth="1"/>
    <col min="3084" max="3084" width="26.140625" bestFit="1" customWidth="1"/>
    <col min="3329" max="3329" width="44.140625" bestFit="1" customWidth="1"/>
    <col min="3330" max="3330" width="43.5703125" bestFit="1" customWidth="1"/>
    <col min="3331" max="3331" width="0" hidden="1" customWidth="1"/>
    <col min="3332" max="3332" width="20.42578125" bestFit="1" customWidth="1"/>
    <col min="3333" max="3333" width="21.85546875" bestFit="1" customWidth="1"/>
    <col min="3334" max="3334" width="16.140625" bestFit="1" customWidth="1"/>
    <col min="3335" max="3335" width="15.5703125" customWidth="1"/>
    <col min="3336" max="3336" width="14.42578125" bestFit="1" customWidth="1"/>
    <col min="3337" max="3337" width="32.5703125" bestFit="1" customWidth="1"/>
    <col min="3338" max="3338" width="34.42578125" bestFit="1" customWidth="1"/>
    <col min="3339" max="3339" width="5.5703125" customWidth="1"/>
    <col min="3340" max="3340" width="26.140625" bestFit="1" customWidth="1"/>
    <col min="3585" max="3585" width="44.140625" bestFit="1" customWidth="1"/>
    <col min="3586" max="3586" width="43.5703125" bestFit="1" customWidth="1"/>
    <col min="3587" max="3587" width="0" hidden="1" customWidth="1"/>
    <col min="3588" max="3588" width="20.42578125" bestFit="1" customWidth="1"/>
    <col min="3589" max="3589" width="21.85546875" bestFit="1" customWidth="1"/>
    <col min="3590" max="3590" width="16.140625" bestFit="1" customWidth="1"/>
    <col min="3591" max="3591" width="15.5703125" customWidth="1"/>
    <col min="3592" max="3592" width="14.42578125" bestFit="1" customWidth="1"/>
    <col min="3593" max="3593" width="32.5703125" bestFit="1" customWidth="1"/>
    <col min="3594" max="3594" width="34.42578125" bestFit="1" customWidth="1"/>
    <col min="3595" max="3595" width="5.5703125" customWidth="1"/>
    <col min="3596" max="3596" width="26.140625" bestFit="1" customWidth="1"/>
    <col min="3841" max="3841" width="44.140625" bestFit="1" customWidth="1"/>
    <col min="3842" max="3842" width="43.5703125" bestFit="1" customWidth="1"/>
    <col min="3843" max="3843" width="0" hidden="1" customWidth="1"/>
    <col min="3844" max="3844" width="20.42578125" bestFit="1" customWidth="1"/>
    <col min="3845" max="3845" width="21.85546875" bestFit="1" customWidth="1"/>
    <col min="3846" max="3846" width="16.140625" bestFit="1" customWidth="1"/>
    <col min="3847" max="3847" width="15.5703125" customWidth="1"/>
    <col min="3848" max="3848" width="14.42578125" bestFit="1" customWidth="1"/>
    <col min="3849" max="3849" width="32.5703125" bestFit="1" customWidth="1"/>
    <col min="3850" max="3850" width="34.42578125" bestFit="1" customWidth="1"/>
    <col min="3851" max="3851" width="5.5703125" customWidth="1"/>
    <col min="3852" max="3852" width="26.140625" bestFit="1" customWidth="1"/>
    <col min="4097" max="4097" width="44.140625" bestFit="1" customWidth="1"/>
    <col min="4098" max="4098" width="43.5703125" bestFit="1" customWidth="1"/>
    <col min="4099" max="4099" width="0" hidden="1" customWidth="1"/>
    <col min="4100" max="4100" width="20.42578125" bestFit="1" customWidth="1"/>
    <col min="4101" max="4101" width="21.85546875" bestFit="1" customWidth="1"/>
    <col min="4102" max="4102" width="16.140625" bestFit="1" customWidth="1"/>
    <col min="4103" max="4103" width="15.5703125" customWidth="1"/>
    <col min="4104" max="4104" width="14.42578125" bestFit="1" customWidth="1"/>
    <col min="4105" max="4105" width="32.5703125" bestFit="1" customWidth="1"/>
    <col min="4106" max="4106" width="34.42578125" bestFit="1" customWidth="1"/>
    <col min="4107" max="4107" width="5.5703125" customWidth="1"/>
    <col min="4108" max="4108" width="26.140625" bestFit="1" customWidth="1"/>
    <col min="4353" max="4353" width="44.140625" bestFit="1" customWidth="1"/>
    <col min="4354" max="4354" width="43.5703125" bestFit="1" customWidth="1"/>
    <col min="4355" max="4355" width="0" hidden="1" customWidth="1"/>
    <col min="4356" max="4356" width="20.42578125" bestFit="1" customWidth="1"/>
    <col min="4357" max="4357" width="21.85546875" bestFit="1" customWidth="1"/>
    <col min="4358" max="4358" width="16.140625" bestFit="1" customWidth="1"/>
    <col min="4359" max="4359" width="15.5703125" customWidth="1"/>
    <col min="4360" max="4360" width="14.42578125" bestFit="1" customWidth="1"/>
    <col min="4361" max="4361" width="32.5703125" bestFit="1" customWidth="1"/>
    <col min="4362" max="4362" width="34.42578125" bestFit="1" customWidth="1"/>
    <col min="4363" max="4363" width="5.5703125" customWidth="1"/>
    <col min="4364" max="4364" width="26.140625" bestFit="1" customWidth="1"/>
    <col min="4609" max="4609" width="44.140625" bestFit="1" customWidth="1"/>
    <col min="4610" max="4610" width="43.5703125" bestFit="1" customWidth="1"/>
    <col min="4611" max="4611" width="0" hidden="1" customWidth="1"/>
    <col min="4612" max="4612" width="20.42578125" bestFit="1" customWidth="1"/>
    <col min="4613" max="4613" width="21.85546875" bestFit="1" customWidth="1"/>
    <col min="4614" max="4614" width="16.140625" bestFit="1" customWidth="1"/>
    <col min="4615" max="4615" width="15.5703125" customWidth="1"/>
    <col min="4616" max="4616" width="14.42578125" bestFit="1" customWidth="1"/>
    <col min="4617" max="4617" width="32.5703125" bestFit="1" customWidth="1"/>
    <col min="4618" max="4618" width="34.42578125" bestFit="1" customWidth="1"/>
    <col min="4619" max="4619" width="5.5703125" customWidth="1"/>
    <col min="4620" max="4620" width="26.140625" bestFit="1" customWidth="1"/>
    <col min="4865" max="4865" width="44.140625" bestFit="1" customWidth="1"/>
    <col min="4866" max="4866" width="43.5703125" bestFit="1" customWidth="1"/>
    <col min="4867" max="4867" width="0" hidden="1" customWidth="1"/>
    <col min="4868" max="4868" width="20.42578125" bestFit="1" customWidth="1"/>
    <col min="4869" max="4869" width="21.85546875" bestFit="1" customWidth="1"/>
    <col min="4870" max="4870" width="16.140625" bestFit="1" customWidth="1"/>
    <col min="4871" max="4871" width="15.5703125" customWidth="1"/>
    <col min="4872" max="4872" width="14.42578125" bestFit="1" customWidth="1"/>
    <col min="4873" max="4873" width="32.5703125" bestFit="1" customWidth="1"/>
    <col min="4874" max="4874" width="34.42578125" bestFit="1" customWidth="1"/>
    <col min="4875" max="4875" width="5.5703125" customWidth="1"/>
    <col min="4876" max="4876" width="26.140625" bestFit="1" customWidth="1"/>
    <col min="5121" max="5121" width="44.140625" bestFit="1" customWidth="1"/>
    <col min="5122" max="5122" width="43.5703125" bestFit="1" customWidth="1"/>
    <col min="5123" max="5123" width="0" hidden="1" customWidth="1"/>
    <col min="5124" max="5124" width="20.42578125" bestFit="1" customWidth="1"/>
    <col min="5125" max="5125" width="21.85546875" bestFit="1" customWidth="1"/>
    <col min="5126" max="5126" width="16.140625" bestFit="1" customWidth="1"/>
    <col min="5127" max="5127" width="15.5703125" customWidth="1"/>
    <col min="5128" max="5128" width="14.42578125" bestFit="1" customWidth="1"/>
    <col min="5129" max="5129" width="32.5703125" bestFit="1" customWidth="1"/>
    <col min="5130" max="5130" width="34.42578125" bestFit="1" customWidth="1"/>
    <col min="5131" max="5131" width="5.5703125" customWidth="1"/>
    <col min="5132" max="5132" width="26.140625" bestFit="1" customWidth="1"/>
    <col min="5377" max="5377" width="44.140625" bestFit="1" customWidth="1"/>
    <col min="5378" max="5378" width="43.5703125" bestFit="1" customWidth="1"/>
    <col min="5379" max="5379" width="0" hidden="1" customWidth="1"/>
    <col min="5380" max="5380" width="20.42578125" bestFit="1" customWidth="1"/>
    <col min="5381" max="5381" width="21.85546875" bestFit="1" customWidth="1"/>
    <col min="5382" max="5382" width="16.140625" bestFit="1" customWidth="1"/>
    <col min="5383" max="5383" width="15.5703125" customWidth="1"/>
    <col min="5384" max="5384" width="14.42578125" bestFit="1" customWidth="1"/>
    <col min="5385" max="5385" width="32.5703125" bestFit="1" customWidth="1"/>
    <col min="5386" max="5386" width="34.42578125" bestFit="1" customWidth="1"/>
    <col min="5387" max="5387" width="5.5703125" customWidth="1"/>
    <col min="5388" max="5388" width="26.140625" bestFit="1" customWidth="1"/>
    <col min="5633" max="5633" width="44.140625" bestFit="1" customWidth="1"/>
    <col min="5634" max="5634" width="43.5703125" bestFit="1" customWidth="1"/>
    <col min="5635" max="5635" width="0" hidden="1" customWidth="1"/>
    <col min="5636" max="5636" width="20.42578125" bestFit="1" customWidth="1"/>
    <col min="5637" max="5637" width="21.85546875" bestFit="1" customWidth="1"/>
    <col min="5638" max="5638" width="16.140625" bestFit="1" customWidth="1"/>
    <col min="5639" max="5639" width="15.5703125" customWidth="1"/>
    <col min="5640" max="5640" width="14.42578125" bestFit="1" customWidth="1"/>
    <col min="5641" max="5641" width="32.5703125" bestFit="1" customWidth="1"/>
    <col min="5642" max="5642" width="34.42578125" bestFit="1" customWidth="1"/>
    <col min="5643" max="5643" width="5.5703125" customWidth="1"/>
    <col min="5644" max="5644" width="26.140625" bestFit="1" customWidth="1"/>
    <col min="5889" max="5889" width="44.140625" bestFit="1" customWidth="1"/>
    <col min="5890" max="5890" width="43.5703125" bestFit="1" customWidth="1"/>
    <col min="5891" max="5891" width="0" hidden="1" customWidth="1"/>
    <col min="5892" max="5892" width="20.42578125" bestFit="1" customWidth="1"/>
    <col min="5893" max="5893" width="21.85546875" bestFit="1" customWidth="1"/>
    <col min="5894" max="5894" width="16.140625" bestFit="1" customWidth="1"/>
    <col min="5895" max="5895" width="15.5703125" customWidth="1"/>
    <col min="5896" max="5896" width="14.42578125" bestFit="1" customWidth="1"/>
    <col min="5897" max="5897" width="32.5703125" bestFit="1" customWidth="1"/>
    <col min="5898" max="5898" width="34.42578125" bestFit="1" customWidth="1"/>
    <col min="5899" max="5899" width="5.5703125" customWidth="1"/>
    <col min="5900" max="5900" width="26.140625" bestFit="1" customWidth="1"/>
    <col min="6145" max="6145" width="44.140625" bestFit="1" customWidth="1"/>
    <col min="6146" max="6146" width="43.5703125" bestFit="1" customWidth="1"/>
    <col min="6147" max="6147" width="0" hidden="1" customWidth="1"/>
    <col min="6148" max="6148" width="20.42578125" bestFit="1" customWidth="1"/>
    <col min="6149" max="6149" width="21.85546875" bestFit="1" customWidth="1"/>
    <col min="6150" max="6150" width="16.140625" bestFit="1" customWidth="1"/>
    <col min="6151" max="6151" width="15.5703125" customWidth="1"/>
    <col min="6152" max="6152" width="14.42578125" bestFit="1" customWidth="1"/>
    <col min="6153" max="6153" width="32.5703125" bestFit="1" customWidth="1"/>
    <col min="6154" max="6154" width="34.42578125" bestFit="1" customWidth="1"/>
    <col min="6155" max="6155" width="5.5703125" customWidth="1"/>
    <col min="6156" max="6156" width="26.140625" bestFit="1" customWidth="1"/>
    <col min="6401" max="6401" width="44.140625" bestFit="1" customWidth="1"/>
    <col min="6402" max="6402" width="43.5703125" bestFit="1" customWidth="1"/>
    <col min="6403" max="6403" width="0" hidden="1" customWidth="1"/>
    <col min="6404" max="6404" width="20.42578125" bestFit="1" customWidth="1"/>
    <col min="6405" max="6405" width="21.85546875" bestFit="1" customWidth="1"/>
    <col min="6406" max="6406" width="16.140625" bestFit="1" customWidth="1"/>
    <col min="6407" max="6407" width="15.5703125" customWidth="1"/>
    <col min="6408" max="6408" width="14.42578125" bestFit="1" customWidth="1"/>
    <col min="6409" max="6409" width="32.5703125" bestFit="1" customWidth="1"/>
    <col min="6410" max="6410" width="34.42578125" bestFit="1" customWidth="1"/>
    <col min="6411" max="6411" width="5.5703125" customWidth="1"/>
    <col min="6412" max="6412" width="26.140625" bestFit="1" customWidth="1"/>
    <col min="6657" max="6657" width="44.140625" bestFit="1" customWidth="1"/>
    <col min="6658" max="6658" width="43.5703125" bestFit="1" customWidth="1"/>
    <col min="6659" max="6659" width="0" hidden="1" customWidth="1"/>
    <col min="6660" max="6660" width="20.42578125" bestFit="1" customWidth="1"/>
    <col min="6661" max="6661" width="21.85546875" bestFit="1" customWidth="1"/>
    <col min="6662" max="6662" width="16.140625" bestFit="1" customWidth="1"/>
    <col min="6663" max="6663" width="15.5703125" customWidth="1"/>
    <col min="6664" max="6664" width="14.42578125" bestFit="1" customWidth="1"/>
    <col min="6665" max="6665" width="32.5703125" bestFit="1" customWidth="1"/>
    <col min="6666" max="6666" width="34.42578125" bestFit="1" customWidth="1"/>
    <col min="6667" max="6667" width="5.5703125" customWidth="1"/>
    <col min="6668" max="6668" width="26.140625" bestFit="1" customWidth="1"/>
    <col min="6913" max="6913" width="44.140625" bestFit="1" customWidth="1"/>
    <col min="6914" max="6914" width="43.5703125" bestFit="1" customWidth="1"/>
    <col min="6915" max="6915" width="0" hidden="1" customWidth="1"/>
    <col min="6916" max="6916" width="20.42578125" bestFit="1" customWidth="1"/>
    <col min="6917" max="6917" width="21.85546875" bestFit="1" customWidth="1"/>
    <col min="6918" max="6918" width="16.140625" bestFit="1" customWidth="1"/>
    <col min="6919" max="6919" width="15.5703125" customWidth="1"/>
    <col min="6920" max="6920" width="14.42578125" bestFit="1" customWidth="1"/>
    <col min="6921" max="6921" width="32.5703125" bestFit="1" customWidth="1"/>
    <col min="6922" max="6922" width="34.42578125" bestFit="1" customWidth="1"/>
    <col min="6923" max="6923" width="5.5703125" customWidth="1"/>
    <col min="6924" max="6924" width="26.140625" bestFit="1" customWidth="1"/>
    <col min="7169" max="7169" width="44.140625" bestFit="1" customWidth="1"/>
    <col min="7170" max="7170" width="43.5703125" bestFit="1" customWidth="1"/>
    <col min="7171" max="7171" width="0" hidden="1" customWidth="1"/>
    <col min="7172" max="7172" width="20.42578125" bestFit="1" customWidth="1"/>
    <col min="7173" max="7173" width="21.85546875" bestFit="1" customWidth="1"/>
    <col min="7174" max="7174" width="16.140625" bestFit="1" customWidth="1"/>
    <col min="7175" max="7175" width="15.5703125" customWidth="1"/>
    <col min="7176" max="7176" width="14.42578125" bestFit="1" customWidth="1"/>
    <col min="7177" max="7177" width="32.5703125" bestFit="1" customWidth="1"/>
    <col min="7178" max="7178" width="34.42578125" bestFit="1" customWidth="1"/>
    <col min="7179" max="7179" width="5.5703125" customWidth="1"/>
    <col min="7180" max="7180" width="26.140625" bestFit="1" customWidth="1"/>
    <col min="7425" max="7425" width="44.140625" bestFit="1" customWidth="1"/>
    <col min="7426" max="7426" width="43.5703125" bestFit="1" customWidth="1"/>
    <col min="7427" max="7427" width="0" hidden="1" customWidth="1"/>
    <col min="7428" max="7428" width="20.42578125" bestFit="1" customWidth="1"/>
    <col min="7429" max="7429" width="21.85546875" bestFit="1" customWidth="1"/>
    <col min="7430" max="7430" width="16.140625" bestFit="1" customWidth="1"/>
    <col min="7431" max="7431" width="15.5703125" customWidth="1"/>
    <col min="7432" max="7432" width="14.42578125" bestFit="1" customWidth="1"/>
    <col min="7433" max="7433" width="32.5703125" bestFit="1" customWidth="1"/>
    <col min="7434" max="7434" width="34.42578125" bestFit="1" customWidth="1"/>
    <col min="7435" max="7435" width="5.5703125" customWidth="1"/>
    <col min="7436" max="7436" width="26.140625" bestFit="1" customWidth="1"/>
    <col min="7681" max="7681" width="44.140625" bestFit="1" customWidth="1"/>
    <col min="7682" max="7682" width="43.5703125" bestFit="1" customWidth="1"/>
    <col min="7683" max="7683" width="0" hidden="1" customWidth="1"/>
    <col min="7684" max="7684" width="20.42578125" bestFit="1" customWidth="1"/>
    <col min="7685" max="7685" width="21.85546875" bestFit="1" customWidth="1"/>
    <col min="7686" max="7686" width="16.140625" bestFit="1" customWidth="1"/>
    <col min="7687" max="7687" width="15.5703125" customWidth="1"/>
    <col min="7688" max="7688" width="14.42578125" bestFit="1" customWidth="1"/>
    <col min="7689" max="7689" width="32.5703125" bestFit="1" customWidth="1"/>
    <col min="7690" max="7690" width="34.42578125" bestFit="1" customWidth="1"/>
    <col min="7691" max="7691" width="5.5703125" customWidth="1"/>
    <col min="7692" max="7692" width="26.140625" bestFit="1" customWidth="1"/>
    <col min="7937" max="7937" width="44.140625" bestFit="1" customWidth="1"/>
    <col min="7938" max="7938" width="43.5703125" bestFit="1" customWidth="1"/>
    <col min="7939" max="7939" width="0" hidden="1" customWidth="1"/>
    <col min="7940" max="7940" width="20.42578125" bestFit="1" customWidth="1"/>
    <col min="7941" max="7941" width="21.85546875" bestFit="1" customWidth="1"/>
    <col min="7942" max="7942" width="16.140625" bestFit="1" customWidth="1"/>
    <col min="7943" max="7943" width="15.5703125" customWidth="1"/>
    <col min="7944" max="7944" width="14.42578125" bestFit="1" customWidth="1"/>
    <col min="7945" max="7945" width="32.5703125" bestFit="1" customWidth="1"/>
    <col min="7946" max="7946" width="34.42578125" bestFit="1" customWidth="1"/>
    <col min="7947" max="7947" width="5.5703125" customWidth="1"/>
    <col min="7948" max="7948" width="26.140625" bestFit="1" customWidth="1"/>
    <col min="8193" max="8193" width="44.140625" bestFit="1" customWidth="1"/>
    <col min="8194" max="8194" width="43.5703125" bestFit="1" customWidth="1"/>
    <col min="8195" max="8195" width="0" hidden="1" customWidth="1"/>
    <col min="8196" max="8196" width="20.42578125" bestFit="1" customWidth="1"/>
    <col min="8197" max="8197" width="21.85546875" bestFit="1" customWidth="1"/>
    <col min="8198" max="8198" width="16.140625" bestFit="1" customWidth="1"/>
    <col min="8199" max="8199" width="15.5703125" customWidth="1"/>
    <col min="8200" max="8200" width="14.42578125" bestFit="1" customWidth="1"/>
    <col min="8201" max="8201" width="32.5703125" bestFit="1" customWidth="1"/>
    <col min="8202" max="8202" width="34.42578125" bestFit="1" customWidth="1"/>
    <col min="8203" max="8203" width="5.5703125" customWidth="1"/>
    <col min="8204" max="8204" width="26.140625" bestFit="1" customWidth="1"/>
    <col min="8449" max="8449" width="44.140625" bestFit="1" customWidth="1"/>
    <col min="8450" max="8450" width="43.5703125" bestFit="1" customWidth="1"/>
    <col min="8451" max="8451" width="0" hidden="1" customWidth="1"/>
    <col min="8452" max="8452" width="20.42578125" bestFit="1" customWidth="1"/>
    <col min="8453" max="8453" width="21.85546875" bestFit="1" customWidth="1"/>
    <col min="8454" max="8454" width="16.140625" bestFit="1" customWidth="1"/>
    <col min="8455" max="8455" width="15.5703125" customWidth="1"/>
    <col min="8456" max="8456" width="14.42578125" bestFit="1" customWidth="1"/>
    <col min="8457" max="8457" width="32.5703125" bestFit="1" customWidth="1"/>
    <col min="8458" max="8458" width="34.42578125" bestFit="1" customWidth="1"/>
    <col min="8459" max="8459" width="5.5703125" customWidth="1"/>
    <col min="8460" max="8460" width="26.140625" bestFit="1" customWidth="1"/>
    <col min="8705" max="8705" width="44.140625" bestFit="1" customWidth="1"/>
    <col min="8706" max="8706" width="43.5703125" bestFit="1" customWidth="1"/>
    <col min="8707" max="8707" width="0" hidden="1" customWidth="1"/>
    <col min="8708" max="8708" width="20.42578125" bestFit="1" customWidth="1"/>
    <col min="8709" max="8709" width="21.85546875" bestFit="1" customWidth="1"/>
    <col min="8710" max="8710" width="16.140625" bestFit="1" customWidth="1"/>
    <col min="8711" max="8711" width="15.5703125" customWidth="1"/>
    <col min="8712" max="8712" width="14.42578125" bestFit="1" customWidth="1"/>
    <col min="8713" max="8713" width="32.5703125" bestFit="1" customWidth="1"/>
    <col min="8714" max="8714" width="34.42578125" bestFit="1" customWidth="1"/>
    <col min="8715" max="8715" width="5.5703125" customWidth="1"/>
    <col min="8716" max="8716" width="26.140625" bestFit="1" customWidth="1"/>
    <col min="8961" max="8961" width="44.140625" bestFit="1" customWidth="1"/>
    <col min="8962" max="8962" width="43.5703125" bestFit="1" customWidth="1"/>
    <col min="8963" max="8963" width="0" hidden="1" customWidth="1"/>
    <col min="8964" max="8964" width="20.42578125" bestFit="1" customWidth="1"/>
    <col min="8965" max="8965" width="21.85546875" bestFit="1" customWidth="1"/>
    <col min="8966" max="8966" width="16.140625" bestFit="1" customWidth="1"/>
    <col min="8967" max="8967" width="15.5703125" customWidth="1"/>
    <col min="8968" max="8968" width="14.42578125" bestFit="1" customWidth="1"/>
    <col min="8969" max="8969" width="32.5703125" bestFit="1" customWidth="1"/>
    <col min="8970" max="8970" width="34.42578125" bestFit="1" customWidth="1"/>
    <col min="8971" max="8971" width="5.5703125" customWidth="1"/>
    <col min="8972" max="8972" width="26.140625" bestFit="1" customWidth="1"/>
    <col min="9217" max="9217" width="44.140625" bestFit="1" customWidth="1"/>
    <col min="9218" max="9218" width="43.5703125" bestFit="1" customWidth="1"/>
    <col min="9219" max="9219" width="0" hidden="1" customWidth="1"/>
    <col min="9220" max="9220" width="20.42578125" bestFit="1" customWidth="1"/>
    <col min="9221" max="9221" width="21.85546875" bestFit="1" customWidth="1"/>
    <col min="9222" max="9222" width="16.140625" bestFit="1" customWidth="1"/>
    <col min="9223" max="9223" width="15.5703125" customWidth="1"/>
    <col min="9224" max="9224" width="14.42578125" bestFit="1" customWidth="1"/>
    <col min="9225" max="9225" width="32.5703125" bestFit="1" customWidth="1"/>
    <col min="9226" max="9226" width="34.42578125" bestFit="1" customWidth="1"/>
    <col min="9227" max="9227" width="5.5703125" customWidth="1"/>
    <col min="9228" max="9228" width="26.140625" bestFit="1" customWidth="1"/>
    <col min="9473" max="9473" width="44.140625" bestFit="1" customWidth="1"/>
    <col min="9474" max="9474" width="43.5703125" bestFit="1" customWidth="1"/>
    <col min="9475" max="9475" width="0" hidden="1" customWidth="1"/>
    <col min="9476" max="9476" width="20.42578125" bestFit="1" customWidth="1"/>
    <col min="9477" max="9477" width="21.85546875" bestFit="1" customWidth="1"/>
    <col min="9478" max="9478" width="16.140625" bestFit="1" customWidth="1"/>
    <col min="9479" max="9479" width="15.5703125" customWidth="1"/>
    <col min="9480" max="9480" width="14.42578125" bestFit="1" customWidth="1"/>
    <col min="9481" max="9481" width="32.5703125" bestFit="1" customWidth="1"/>
    <col min="9482" max="9482" width="34.42578125" bestFit="1" customWidth="1"/>
    <col min="9483" max="9483" width="5.5703125" customWidth="1"/>
    <col min="9484" max="9484" width="26.140625" bestFit="1" customWidth="1"/>
    <col min="9729" max="9729" width="44.140625" bestFit="1" customWidth="1"/>
    <col min="9730" max="9730" width="43.5703125" bestFit="1" customWidth="1"/>
    <col min="9731" max="9731" width="0" hidden="1" customWidth="1"/>
    <col min="9732" max="9732" width="20.42578125" bestFit="1" customWidth="1"/>
    <col min="9733" max="9733" width="21.85546875" bestFit="1" customWidth="1"/>
    <col min="9734" max="9734" width="16.140625" bestFit="1" customWidth="1"/>
    <col min="9735" max="9735" width="15.5703125" customWidth="1"/>
    <col min="9736" max="9736" width="14.42578125" bestFit="1" customWidth="1"/>
    <col min="9737" max="9737" width="32.5703125" bestFit="1" customWidth="1"/>
    <col min="9738" max="9738" width="34.42578125" bestFit="1" customWidth="1"/>
    <col min="9739" max="9739" width="5.5703125" customWidth="1"/>
    <col min="9740" max="9740" width="26.140625" bestFit="1" customWidth="1"/>
    <col min="9985" max="9985" width="44.140625" bestFit="1" customWidth="1"/>
    <col min="9986" max="9986" width="43.5703125" bestFit="1" customWidth="1"/>
    <col min="9987" max="9987" width="0" hidden="1" customWidth="1"/>
    <col min="9988" max="9988" width="20.42578125" bestFit="1" customWidth="1"/>
    <col min="9989" max="9989" width="21.85546875" bestFit="1" customWidth="1"/>
    <col min="9990" max="9990" width="16.140625" bestFit="1" customWidth="1"/>
    <col min="9991" max="9991" width="15.5703125" customWidth="1"/>
    <col min="9992" max="9992" width="14.42578125" bestFit="1" customWidth="1"/>
    <col min="9993" max="9993" width="32.5703125" bestFit="1" customWidth="1"/>
    <col min="9994" max="9994" width="34.42578125" bestFit="1" customWidth="1"/>
    <col min="9995" max="9995" width="5.5703125" customWidth="1"/>
    <col min="9996" max="9996" width="26.140625" bestFit="1" customWidth="1"/>
    <col min="10241" max="10241" width="44.140625" bestFit="1" customWidth="1"/>
    <col min="10242" max="10242" width="43.5703125" bestFit="1" customWidth="1"/>
    <col min="10243" max="10243" width="0" hidden="1" customWidth="1"/>
    <col min="10244" max="10244" width="20.42578125" bestFit="1" customWidth="1"/>
    <col min="10245" max="10245" width="21.85546875" bestFit="1" customWidth="1"/>
    <col min="10246" max="10246" width="16.140625" bestFit="1" customWidth="1"/>
    <col min="10247" max="10247" width="15.5703125" customWidth="1"/>
    <col min="10248" max="10248" width="14.42578125" bestFit="1" customWidth="1"/>
    <col min="10249" max="10249" width="32.5703125" bestFit="1" customWidth="1"/>
    <col min="10250" max="10250" width="34.42578125" bestFit="1" customWidth="1"/>
    <col min="10251" max="10251" width="5.5703125" customWidth="1"/>
    <col min="10252" max="10252" width="26.140625" bestFit="1" customWidth="1"/>
    <col min="10497" max="10497" width="44.140625" bestFit="1" customWidth="1"/>
    <col min="10498" max="10498" width="43.5703125" bestFit="1" customWidth="1"/>
    <col min="10499" max="10499" width="0" hidden="1" customWidth="1"/>
    <col min="10500" max="10500" width="20.42578125" bestFit="1" customWidth="1"/>
    <col min="10501" max="10501" width="21.85546875" bestFit="1" customWidth="1"/>
    <col min="10502" max="10502" width="16.140625" bestFit="1" customWidth="1"/>
    <col min="10503" max="10503" width="15.5703125" customWidth="1"/>
    <col min="10504" max="10504" width="14.42578125" bestFit="1" customWidth="1"/>
    <col min="10505" max="10505" width="32.5703125" bestFit="1" customWidth="1"/>
    <col min="10506" max="10506" width="34.42578125" bestFit="1" customWidth="1"/>
    <col min="10507" max="10507" width="5.5703125" customWidth="1"/>
    <col min="10508" max="10508" width="26.140625" bestFit="1" customWidth="1"/>
    <col min="10753" max="10753" width="44.140625" bestFit="1" customWidth="1"/>
    <col min="10754" max="10754" width="43.5703125" bestFit="1" customWidth="1"/>
    <col min="10755" max="10755" width="0" hidden="1" customWidth="1"/>
    <col min="10756" max="10756" width="20.42578125" bestFit="1" customWidth="1"/>
    <col min="10757" max="10757" width="21.85546875" bestFit="1" customWidth="1"/>
    <col min="10758" max="10758" width="16.140625" bestFit="1" customWidth="1"/>
    <col min="10759" max="10759" width="15.5703125" customWidth="1"/>
    <col min="10760" max="10760" width="14.42578125" bestFit="1" customWidth="1"/>
    <col min="10761" max="10761" width="32.5703125" bestFit="1" customWidth="1"/>
    <col min="10762" max="10762" width="34.42578125" bestFit="1" customWidth="1"/>
    <col min="10763" max="10763" width="5.5703125" customWidth="1"/>
    <col min="10764" max="10764" width="26.140625" bestFit="1" customWidth="1"/>
    <col min="11009" max="11009" width="44.140625" bestFit="1" customWidth="1"/>
    <col min="11010" max="11010" width="43.5703125" bestFit="1" customWidth="1"/>
    <col min="11011" max="11011" width="0" hidden="1" customWidth="1"/>
    <col min="11012" max="11012" width="20.42578125" bestFit="1" customWidth="1"/>
    <col min="11013" max="11013" width="21.85546875" bestFit="1" customWidth="1"/>
    <col min="11014" max="11014" width="16.140625" bestFit="1" customWidth="1"/>
    <col min="11015" max="11015" width="15.5703125" customWidth="1"/>
    <col min="11016" max="11016" width="14.42578125" bestFit="1" customWidth="1"/>
    <col min="11017" max="11017" width="32.5703125" bestFit="1" customWidth="1"/>
    <col min="11018" max="11018" width="34.42578125" bestFit="1" customWidth="1"/>
    <col min="11019" max="11019" width="5.5703125" customWidth="1"/>
    <col min="11020" max="11020" width="26.140625" bestFit="1" customWidth="1"/>
    <col min="11265" max="11265" width="44.140625" bestFit="1" customWidth="1"/>
    <col min="11266" max="11266" width="43.5703125" bestFit="1" customWidth="1"/>
    <col min="11267" max="11267" width="0" hidden="1" customWidth="1"/>
    <col min="11268" max="11268" width="20.42578125" bestFit="1" customWidth="1"/>
    <col min="11269" max="11269" width="21.85546875" bestFit="1" customWidth="1"/>
    <col min="11270" max="11270" width="16.140625" bestFit="1" customWidth="1"/>
    <col min="11271" max="11271" width="15.5703125" customWidth="1"/>
    <col min="11272" max="11272" width="14.42578125" bestFit="1" customWidth="1"/>
    <col min="11273" max="11273" width="32.5703125" bestFit="1" customWidth="1"/>
    <col min="11274" max="11274" width="34.42578125" bestFit="1" customWidth="1"/>
    <col min="11275" max="11275" width="5.5703125" customWidth="1"/>
    <col min="11276" max="11276" width="26.140625" bestFit="1" customWidth="1"/>
    <col min="11521" max="11521" width="44.140625" bestFit="1" customWidth="1"/>
    <col min="11522" max="11522" width="43.5703125" bestFit="1" customWidth="1"/>
    <col min="11523" max="11523" width="0" hidden="1" customWidth="1"/>
    <col min="11524" max="11524" width="20.42578125" bestFit="1" customWidth="1"/>
    <col min="11525" max="11525" width="21.85546875" bestFit="1" customWidth="1"/>
    <col min="11526" max="11526" width="16.140625" bestFit="1" customWidth="1"/>
    <col min="11527" max="11527" width="15.5703125" customWidth="1"/>
    <col min="11528" max="11528" width="14.42578125" bestFit="1" customWidth="1"/>
    <col min="11529" max="11529" width="32.5703125" bestFit="1" customWidth="1"/>
    <col min="11530" max="11530" width="34.42578125" bestFit="1" customWidth="1"/>
    <col min="11531" max="11531" width="5.5703125" customWidth="1"/>
    <col min="11532" max="11532" width="26.140625" bestFit="1" customWidth="1"/>
    <col min="11777" max="11777" width="44.140625" bestFit="1" customWidth="1"/>
    <col min="11778" max="11778" width="43.5703125" bestFit="1" customWidth="1"/>
    <col min="11779" max="11779" width="0" hidden="1" customWidth="1"/>
    <col min="11780" max="11780" width="20.42578125" bestFit="1" customWidth="1"/>
    <col min="11781" max="11781" width="21.85546875" bestFit="1" customWidth="1"/>
    <col min="11782" max="11782" width="16.140625" bestFit="1" customWidth="1"/>
    <col min="11783" max="11783" width="15.5703125" customWidth="1"/>
    <col min="11784" max="11784" width="14.42578125" bestFit="1" customWidth="1"/>
    <col min="11785" max="11785" width="32.5703125" bestFit="1" customWidth="1"/>
    <col min="11786" max="11786" width="34.42578125" bestFit="1" customWidth="1"/>
    <col min="11787" max="11787" width="5.5703125" customWidth="1"/>
    <col min="11788" max="11788" width="26.140625" bestFit="1" customWidth="1"/>
    <col min="12033" max="12033" width="44.140625" bestFit="1" customWidth="1"/>
    <col min="12034" max="12034" width="43.5703125" bestFit="1" customWidth="1"/>
    <col min="12035" max="12035" width="0" hidden="1" customWidth="1"/>
    <col min="12036" max="12036" width="20.42578125" bestFit="1" customWidth="1"/>
    <col min="12037" max="12037" width="21.85546875" bestFit="1" customWidth="1"/>
    <col min="12038" max="12038" width="16.140625" bestFit="1" customWidth="1"/>
    <col min="12039" max="12039" width="15.5703125" customWidth="1"/>
    <col min="12040" max="12040" width="14.42578125" bestFit="1" customWidth="1"/>
    <col min="12041" max="12041" width="32.5703125" bestFit="1" customWidth="1"/>
    <col min="12042" max="12042" width="34.42578125" bestFit="1" customWidth="1"/>
    <col min="12043" max="12043" width="5.5703125" customWidth="1"/>
    <col min="12044" max="12044" width="26.140625" bestFit="1" customWidth="1"/>
    <col min="12289" max="12289" width="44.140625" bestFit="1" customWidth="1"/>
    <col min="12290" max="12290" width="43.5703125" bestFit="1" customWidth="1"/>
    <col min="12291" max="12291" width="0" hidden="1" customWidth="1"/>
    <col min="12292" max="12292" width="20.42578125" bestFit="1" customWidth="1"/>
    <col min="12293" max="12293" width="21.85546875" bestFit="1" customWidth="1"/>
    <col min="12294" max="12294" width="16.140625" bestFit="1" customWidth="1"/>
    <col min="12295" max="12295" width="15.5703125" customWidth="1"/>
    <col min="12296" max="12296" width="14.42578125" bestFit="1" customWidth="1"/>
    <col min="12297" max="12297" width="32.5703125" bestFit="1" customWidth="1"/>
    <col min="12298" max="12298" width="34.42578125" bestFit="1" customWidth="1"/>
    <col min="12299" max="12299" width="5.5703125" customWidth="1"/>
    <col min="12300" max="12300" width="26.140625" bestFit="1" customWidth="1"/>
    <col min="12545" max="12545" width="44.140625" bestFit="1" customWidth="1"/>
    <col min="12546" max="12546" width="43.5703125" bestFit="1" customWidth="1"/>
    <col min="12547" max="12547" width="0" hidden="1" customWidth="1"/>
    <col min="12548" max="12548" width="20.42578125" bestFit="1" customWidth="1"/>
    <col min="12549" max="12549" width="21.85546875" bestFit="1" customWidth="1"/>
    <col min="12550" max="12550" width="16.140625" bestFit="1" customWidth="1"/>
    <col min="12551" max="12551" width="15.5703125" customWidth="1"/>
    <col min="12552" max="12552" width="14.42578125" bestFit="1" customWidth="1"/>
    <col min="12553" max="12553" width="32.5703125" bestFit="1" customWidth="1"/>
    <col min="12554" max="12554" width="34.42578125" bestFit="1" customWidth="1"/>
    <col min="12555" max="12555" width="5.5703125" customWidth="1"/>
    <col min="12556" max="12556" width="26.140625" bestFit="1" customWidth="1"/>
    <col min="12801" max="12801" width="44.140625" bestFit="1" customWidth="1"/>
    <col min="12802" max="12802" width="43.5703125" bestFit="1" customWidth="1"/>
    <col min="12803" max="12803" width="0" hidden="1" customWidth="1"/>
    <col min="12804" max="12804" width="20.42578125" bestFit="1" customWidth="1"/>
    <col min="12805" max="12805" width="21.85546875" bestFit="1" customWidth="1"/>
    <col min="12806" max="12806" width="16.140625" bestFit="1" customWidth="1"/>
    <col min="12807" max="12807" width="15.5703125" customWidth="1"/>
    <col min="12808" max="12808" width="14.42578125" bestFit="1" customWidth="1"/>
    <col min="12809" max="12809" width="32.5703125" bestFit="1" customWidth="1"/>
    <col min="12810" max="12810" width="34.42578125" bestFit="1" customWidth="1"/>
    <col min="12811" max="12811" width="5.5703125" customWidth="1"/>
    <col min="12812" max="12812" width="26.140625" bestFit="1" customWidth="1"/>
    <col min="13057" max="13057" width="44.140625" bestFit="1" customWidth="1"/>
    <col min="13058" max="13058" width="43.5703125" bestFit="1" customWidth="1"/>
    <col min="13059" max="13059" width="0" hidden="1" customWidth="1"/>
    <col min="13060" max="13060" width="20.42578125" bestFit="1" customWidth="1"/>
    <col min="13061" max="13061" width="21.85546875" bestFit="1" customWidth="1"/>
    <col min="13062" max="13062" width="16.140625" bestFit="1" customWidth="1"/>
    <col min="13063" max="13063" width="15.5703125" customWidth="1"/>
    <col min="13064" max="13064" width="14.42578125" bestFit="1" customWidth="1"/>
    <col min="13065" max="13065" width="32.5703125" bestFit="1" customWidth="1"/>
    <col min="13066" max="13066" width="34.42578125" bestFit="1" customWidth="1"/>
    <col min="13067" max="13067" width="5.5703125" customWidth="1"/>
    <col min="13068" max="13068" width="26.140625" bestFit="1" customWidth="1"/>
    <col min="13313" max="13313" width="44.140625" bestFit="1" customWidth="1"/>
    <col min="13314" max="13314" width="43.5703125" bestFit="1" customWidth="1"/>
    <col min="13315" max="13315" width="0" hidden="1" customWidth="1"/>
    <col min="13316" max="13316" width="20.42578125" bestFit="1" customWidth="1"/>
    <col min="13317" max="13317" width="21.85546875" bestFit="1" customWidth="1"/>
    <col min="13318" max="13318" width="16.140625" bestFit="1" customWidth="1"/>
    <col min="13319" max="13319" width="15.5703125" customWidth="1"/>
    <col min="13320" max="13320" width="14.42578125" bestFit="1" customWidth="1"/>
    <col min="13321" max="13321" width="32.5703125" bestFit="1" customWidth="1"/>
    <col min="13322" max="13322" width="34.42578125" bestFit="1" customWidth="1"/>
    <col min="13323" max="13323" width="5.5703125" customWidth="1"/>
    <col min="13324" max="13324" width="26.140625" bestFit="1" customWidth="1"/>
    <col min="13569" max="13569" width="44.140625" bestFit="1" customWidth="1"/>
    <col min="13570" max="13570" width="43.5703125" bestFit="1" customWidth="1"/>
    <col min="13571" max="13571" width="0" hidden="1" customWidth="1"/>
    <col min="13572" max="13572" width="20.42578125" bestFit="1" customWidth="1"/>
    <col min="13573" max="13573" width="21.85546875" bestFit="1" customWidth="1"/>
    <col min="13574" max="13574" width="16.140625" bestFit="1" customWidth="1"/>
    <col min="13575" max="13575" width="15.5703125" customWidth="1"/>
    <col min="13576" max="13576" width="14.42578125" bestFit="1" customWidth="1"/>
    <col min="13577" max="13577" width="32.5703125" bestFit="1" customWidth="1"/>
    <col min="13578" max="13578" width="34.42578125" bestFit="1" customWidth="1"/>
    <col min="13579" max="13579" width="5.5703125" customWidth="1"/>
    <col min="13580" max="13580" width="26.140625" bestFit="1" customWidth="1"/>
    <col min="13825" max="13825" width="44.140625" bestFit="1" customWidth="1"/>
    <col min="13826" max="13826" width="43.5703125" bestFit="1" customWidth="1"/>
    <col min="13827" max="13827" width="0" hidden="1" customWidth="1"/>
    <col min="13828" max="13828" width="20.42578125" bestFit="1" customWidth="1"/>
    <col min="13829" max="13829" width="21.85546875" bestFit="1" customWidth="1"/>
    <col min="13830" max="13830" width="16.140625" bestFit="1" customWidth="1"/>
    <col min="13831" max="13831" width="15.5703125" customWidth="1"/>
    <col min="13832" max="13832" width="14.42578125" bestFit="1" customWidth="1"/>
    <col min="13833" max="13833" width="32.5703125" bestFit="1" customWidth="1"/>
    <col min="13834" max="13834" width="34.42578125" bestFit="1" customWidth="1"/>
    <col min="13835" max="13835" width="5.5703125" customWidth="1"/>
    <col min="13836" max="13836" width="26.140625" bestFit="1" customWidth="1"/>
    <col min="14081" max="14081" width="44.140625" bestFit="1" customWidth="1"/>
    <col min="14082" max="14082" width="43.5703125" bestFit="1" customWidth="1"/>
    <col min="14083" max="14083" width="0" hidden="1" customWidth="1"/>
    <col min="14084" max="14084" width="20.42578125" bestFit="1" customWidth="1"/>
    <col min="14085" max="14085" width="21.85546875" bestFit="1" customWidth="1"/>
    <col min="14086" max="14086" width="16.140625" bestFit="1" customWidth="1"/>
    <col min="14087" max="14087" width="15.5703125" customWidth="1"/>
    <col min="14088" max="14088" width="14.42578125" bestFit="1" customWidth="1"/>
    <col min="14089" max="14089" width="32.5703125" bestFit="1" customWidth="1"/>
    <col min="14090" max="14090" width="34.42578125" bestFit="1" customWidth="1"/>
    <col min="14091" max="14091" width="5.5703125" customWidth="1"/>
    <col min="14092" max="14092" width="26.140625" bestFit="1" customWidth="1"/>
    <col min="14337" max="14337" width="44.140625" bestFit="1" customWidth="1"/>
    <col min="14338" max="14338" width="43.5703125" bestFit="1" customWidth="1"/>
    <col min="14339" max="14339" width="0" hidden="1" customWidth="1"/>
    <col min="14340" max="14340" width="20.42578125" bestFit="1" customWidth="1"/>
    <col min="14341" max="14341" width="21.85546875" bestFit="1" customWidth="1"/>
    <col min="14342" max="14342" width="16.140625" bestFit="1" customWidth="1"/>
    <col min="14343" max="14343" width="15.5703125" customWidth="1"/>
    <col min="14344" max="14344" width="14.42578125" bestFit="1" customWidth="1"/>
    <col min="14345" max="14345" width="32.5703125" bestFit="1" customWidth="1"/>
    <col min="14346" max="14346" width="34.42578125" bestFit="1" customWidth="1"/>
    <col min="14347" max="14347" width="5.5703125" customWidth="1"/>
    <col min="14348" max="14348" width="26.140625" bestFit="1" customWidth="1"/>
    <col min="14593" max="14593" width="44.140625" bestFit="1" customWidth="1"/>
    <col min="14594" max="14594" width="43.5703125" bestFit="1" customWidth="1"/>
    <col min="14595" max="14595" width="0" hidden="1" customWidth="1"/>
    <col min="14596" max="14596" width="20.42578125" bestFit="1" customWidth="1"/>
    <col min="14597" max="14597" width="21.85546875" bestFit="1" customWidth="1"/>
    <col min="14598" max="14598" width="16.140625" bestFit="1" customWidth="1"/>
    <col min="14599" max="14599" width="15.5703125" customWidth="1"/>
    <col min="14600" max="14600" width="14.42578125" bestFit="1" customWidth="1"/>
    <col min="14601" max="14601" width="32.5703125" bestFit="1" customWidth="1"/>
    <col min="14602" max="14602" width="34.42578125" bestFit="1" customWidth="1"/>
    <col min="14603" max="14603" width="5.5703125" customWidth="1"/>
    <col min="14604" max="14604" width="26.140625" bestFit="1" customWidth="1"/>
    <col min="14849" max="14849" width="44.140625" bestFit="1" customWidth="1"/>
    <col min="14850" max="14850" width="43.5703125" bestFit="1" customWidth="1"/>
    <col min="14851" max="14851" width="0" hidden="1" customWidth="1"/>
    <col min="14852" max="14852" width="20.42578125" bestFit="1" customWidth="1"/>
    <col min="14853" max="14853" width="21.85546875" bestFit="1" customWidth="1"/>
    <col min="14854" max="14854" width="16.140625" bestFit="1" customWidth="1"/>
    <col min="14855" max="14855" width="15.5703125" customWidth="1"/>
    <col min="14856" max="14856" width="14.42578125" bestFit="1" customWidth="1"/>
    <col min="14857" max="14857" width="32.5703125" bestFit="1" customWidth="1"/>
    <col min="14858" max="14858" width="34.42578125" bestFit="1" customWidth="1"/>
    <col min="14859" max="14859" width="5.5703125" customWidth="1"/>
    <col min="14860" max="14860" width="26.140625" bestFit="1" customWidth="1"/>
    <col min="15105" max="15105" width="44.140625" bestFit="1" customWidth="1"/>
    <col min="15106" max="15106" width="43.5703125" bestFit="1" customWidth="1"/>
    <col min="15107" max="15107" width="0" hidden="1" customWidth="1"/>
    <col min="15108" max="15108" width="20.42578125" bestFit="1" customWidth="1"/>
    <col min="15109" max="15109" width="21.85546875" bestFit="1" customWidth="1"/>
    <col min="15110" max="15110" width="16.140625" bestFit="1" customWidth="1"/>
    <col min="15111" max="15111" width="15.5703125" customWidth="1"/>
    <col min="15112" max="15112" width="14.42578125" bestFit="1" customWidth="1"/>
    <col min="15113" max="15113" width="32.5703125" bestFit="1" customWidth="1"/>
    <col min="15114" max="15114" width="34.42578125" bestFit="1" customWidth="1"/>
    <col min="15115" max="15115" width="5.5703125" customWidth="1"/>
    <col min="15116" max="15116" width="26.140625" bestFit="1" customWidth="1"/>
    <col min="15361" max="15361" width="44.140625" bestFit="1" customWidth="1"/>
    <col min="15362" max="15362" width="43.5703125" bestFit="1" customWidth="1"/>
    <col min="15363" max="15363" width="0" hidden="1" customWidth="1"/>
    <col min="15364" max="15364" width="20.42578125" bestFit="1" customWidth="1"/>
    <col min="15365" max="15365" width="21.85546875" bestFit="1" customWidth="1"/>
    <col min="15366" max="15366" width="16.140625" bestFit="1" customWidth="1"/>
    <col min="15367" max="15367" width="15.5703125" customWidth="1"/>
    <col min="15368" max="15368" width="14.42578125" bestFit="1" customWidth="1"/>
    <col min="15369" max="15369" width="32.5703125" bestFit="1" customWidth="1"/>
    <col min="15370" max="15370" width="34.42578125" bestFit="1" customWidth="1"/>
    <col min="15371" max="15371" width="5.5703125" customWidth="1"/>
    <col min="15372" max="15372" width="26.140625" bestFit="1" customWidth="1"/>
    <col min="15617" max="15617" width="44.140625" bestFit="1" customWidth="1"/>
    <col min="15618" max="15618" width="43.5703125" bestFit="1" customWidth="1"/>
    <col min="15619" max="15619" width="0" hidden="1" customWidth="1"/>
    <col min="15620" max="15620" width="20.42578125" bestFit="1" customWidth="1"/>
    <col min="15621" max="15621" width="21.85546875" bestFit="1" customWidth="1"/>
    <col min="15622" max="15622" width="16.140625" bestFit="1" customWidth="1"/>
    <col min="15623" max="15623" width="15.5703125" customWidth="1"/>
    <col min="15624" max="15624" width="14.42578125" bestFit="1" customWidth="1"/>
    <col min="15625" max="15625" width="32.5703125" bestFit="1" customWidth="1"/>
    <col min="15626" max="15626" width="34.42578125" bestFit="1" customWidth="1"/>
    <col min="15627" max="15627" width="5.5703125" customWidth="1"/>
    <col min="15628" max="15628" width="26.140625" bestFit="1" customWidth="1"/>
    <col min="15873" max="15873" width="44.140625" bestFit="1" customWidth="1"/>
    <col min="15874" max="15874" width="43.5703125" bestFit="1" customWidth="1"/>
    <col min="15875" max="15875" width="0" hidden="1" customWidth="1"/>
    <col min="15876" max="15876" width="20.42578125" bestFit="1" customWidth="1"/>
    <col min="15877" max="15877" width="21.85546875" bestFit="1" customWidth="1"/>
    <col min="15878" max="15878" width="16.140625" bestFit="1" customWidth="1"/>
    <col min="15879" max="15879" width="15.5703125" customWidth="1"/>
    <col min="15880" max="15880" width="14.42578125" bestFit="1" customWidth="1"/>
    <col min="15881" max="15881" width="32.5703125" bestFit="1" customWidth="1"/>
    <col min="15882" max="15882" width="34.42578125" bestFit="1" customWidth="1"/>
    <col min="15883" max="15883" width="5.5703125" customWidth="1"/>
    <col min="15884" max="15884" width="26.140625" bestFit="1" customWidth="1"/>
    <col min="16129" max="16129" width="44.140625" bestFit="1" customWidth="1"/>
    <col min="16130" max="16130" width="43.5703125" bestFit="1" customWidth="1"/>
    <col min="16131" max="16131" width="0" hidden="1" customWidth="1"/>
    <col min="16132" max="16132" width="20.42578125" bestFit="1" customWidth="1"/>
    <col min="16133" max="16133" width="21.85546875" bestFit="1" customWidth="1"/>
    <col min="16134" max="16134" width="16.140625" bestFit="1" customWidth="1"/>
    <col min="16135" max="16135" width="15.5703125" customWidth="1"/>
    <col min="16136" max="16136" width="14.42578125" bestFit="1" customWidth="1"/>
    <col min="16137" max="16137" width="32.5703125" bestFit="1" customWidth="1"/>
    <col min="16138" max="16138" width="34.42578125" bestFit="1" customWidth="1"/>
    <col min="16139" max="16139" width="5.5703125" customWidth="1"/>
    <col min="16140" max="16140" width="26.140625" bestFit="1" customWidth="1"/>
  </cols>
  <sheetData>
    <row r="1" spans="1:12" ht="19.5" thickBot="1" x14ac:dyDescent="0.35">
      <c r="A1" s="182" t="s">
        <v>253</v>
      </c>
      <c r="B1" s="183"/>
      <c r="C1" s="183"/>
      <c r="D1" s="184"/>
      <c r="E1" s="185"/>
      <c r="F1" s="185"/>
    </row>
    <row r="2" spans="1:12" ht="19.5" thickBot="1" x14ac:dyDescent="0.35">
      <c r="A2" s="188"/>
      <c r="B2" s="185"/>
      <c r="C2" s="185"/>
      <c r="D2" s="189" t="e">
        <f>+'Development Budget'!E83</f>
        <v>#REF!</v>
      </c>
      <c r="E2" s="185"/>
      <c r="F2" s="185"/>
    </row>
    <row r="3" spans="1:12" x14ac:dyDescent="0.25">
      <c r="A3" s="190"/>
      <c r="B3" s="191"/>
      <c r="C3" s="192"/>
      <c r="D3" s="193" t="s">
        <v>254</v>
      </c>
      <c r="E3" s="194" t="s">
        <v>255</v>
      </c>
      <c r="F3" s="194"/>
    </row>
    <row r="4" spans="1:12" hidden="1" x14ac:dyDescent="0.25">
      <c r="A4" s="191" t="s">
        <v>256</v>
      </c>
      <c r="B4" s="191" t="s">
        <v>257</v>
      </c>
      <c r="C4" s="192"/>
      <c r="D4" s="195">
        <f>+'[1]development budget'!D19</f>
        <v>200000</v>
      </c>
      <c r="E4" s="195"/>
      <c r="F4" s="195"/>
    </row>
    <row r="5" spans="1:12" hidden="1" x14ac:dyDescent="0.25">
      <c r="B5" s="191" t="s">
        <v>258</v>
      </c>
      <c r="C5" s="192" t="s">
        <v>259</v>
      </c>
      <c r="D5" s="196">
        <f>'[1]development budget'!D41/2</f>
        <v>25000</v>
      </c>
      <c r="E5" s="196"/>
      <c r="F5" s="196"/>
    </row>
    <row r="6" spans="1:12" hidden="1" x14ac:dyDescent="0.25">
      <c r="A6" s="191"/>
      <c r="B6" s="191" t="s">
        <v>260</v>
      </c>
      <c r="C6" s="192" t="s">
        <v>259</v>
      </c>
      <c r="D6" s="197">
        <f>'[1]development budget'!D47/2</f>
        <v>10000</v>
      </c>
      <c r="E6" s="197"/>
      <c r="F6" s="197"/>
    </row>
    <row r="7" spans="1:12" hidden="1" x14ac:dyDescent="0.25">
      <c r="A7" s="191"/>
      <c r="B7" s="191" t="s">
        <v>65</v>
      </c>
      <c r="C7" s="192" t="s">
        <v>259</v>
      </c>
      <c r="D7" s="196">
        <f>+'[1]development budget'!D50</f>
        <v>15000</v>
      </c>
      <c r="E7" s="196"/>
      <c r="F7" s="196"/>
    </row>
    <row r="8" spans="1:12" hidden="1" x14ac:dyDescent="0.25">
      <c r="A8" s="191"/>
      <c r="B8" s="191" t="s">
        <v>261</v>
      </c>
      <c r="C8" s="192" t="s">
        <v>259</v>
      </c>
      <c r="D8" s="196">
        <f>+'[1]development budget'!D64</f>
        <v>26400</v>
      </c>
      <c r="E8" s="196"/>
      <c r="F8" s="196"/>
      <c r="G8" s="187"/>
    </row>
    <row r="9" spans="1:12" hidden="1" x14ac:dyDescent="0.25">
      <c r="A9" s="191"/>
      <c r="B9" s="191" t="s">
        <v>262</v>
      </c>
      <c r="C9" s="192" t="s">
        <v>259</v>
      </c>
      <c r="D9" s="196">
        <f>+'[1]development budget'!D68</f>
        <v>77759.999999999956</v>
      </c>
      <c r="E9" s="196"/>
      <c r="F9" s="196"/>
      <c r="G9" s="198"/>
      <c r="H9" s="199"/>
      <c r="I9" s="200"/>
      <c r="J9" s="200"/>
      <c r="K9" s="200"/>
      <c r="L9" s="201"/>
    </row>
    <row r="10" spans="1:12" hidden="1" x14ac:dyDescent="0.25">
      <c r="A10" s="191"/>
      <c r="B10" s="191" t="s">
        <v>263</v>
      </c>
      <c r="C10" s="192"/>
      <c r="D10" s="196">
        <f>+'[1]development budget'!D65</f>
        <v>60000</v>
      </c>
      <c r="E10" s="196"/>
      <c r="F10" s="196"/>
      <c r="G10" s="199"/>
      <c r="H10" s="199"/>
      <c r="I10" s="200"/>
      <c r="J10" s="200"/>
      <c r="K10" s="200"/>
      <c r="L10" s="201"/>
    </row>
    <row r="11" spans="1:12" hidden="1" x14ac:dyDescent="0.25">
      <c r="A11" s="191"/>
      <c r="B11" s="191" t="s">
        <v>264</v>
      </c>
      <c r="C11" s="192" t="s">
        <v>259</v>
      </c>
      <c r="D11" s="196">
        <f>+'[1]development budget'!D69</f>
        <v>20000</v>
      </c>
      <c r="E11" s="196"/>
      <c r="F11" s="196"/>
      <c r="G11" s="199"/>
      <c r="H11" s="199"/>
      <c r="I11" s="200"/>
      <c r="J11" s="200"/>
      <c r="K11" s="200"/>
      <c r="L11" s="201"/>
    </row>
    <row r="12" spans="1:12" hidden="1" x14ac:dyDescent="0.25">
      <c r="A12" s="191"/>
      <c r="B12" s="191" t="s">
        <v>265</v>
      </c>
      <c r="C12" s="192"/>
      <c r="D12" s="197">
        <f>+'[1]development budget'!E71</f>
        <v>2950224.0183613077</v>
      </c>
      <c r="E12" s="197"/>
      <c r="F12" s="197"/>
      <c r="G12" s="200"/>
      <c r="H12" s="200"/>
      <c r="I12" s="200"/>
      <c r="J12" s="200"/>
      <c r="K12" s="200"/>
      <c r="L12" s="201"/>
    </row>
    <row r="13" spans="1:12" hidden="1" x14ac:dyDescent="0.25">
      <c r="A13" s="191"/>
      <c r="B13" s="202" t="s">
        <v>266</v>
      </c>
      <c r="C13" s="203"/>
      <c r="D13" s="204">
        <f>+'[1]development budget'!D63</f>
        <v>30000</v>
      </c>
      <c r="E13" s="204"/>
      <c r="F13" s="204"/>
      <c r="G13" s="205"/>
      <c r="H13" s="205"/>
      <c r="I13" s="199"/>
      <c r="J13" s="199"/>
      <c r="K13" s="200"/>
      <c r="L13" s="201"/>
    </row>
    <row r="14" spans="1:12" hidden="1" x14ac:dyDescent="0.25">
      <c r="A14" s="191"/>
      <c r="C14" s="192"/>
      <c r="D14" s="206"/>
      <c r="E14" s="206"/>
      <c r="F14" s="206"/>
      <c r="G14" s="205"/>
      <c r="H14" s="207"/>
      <c r="I14" s="208"/>
      <c r="J14" s="208"/>
      <c r="K14" s="200"/>
      <c r="L14" s="201"/>
    </row>
    <row r="15" spans="1:12" hidden="1" x14ac:dyDescent="0.25">
      <c r="A15" s="191"/>
      <c r="B15" s="209" t="s">
        <v>267</v>
      </c>
      <c r="C15" s="203"/>
      <c r="D15" s="210">
        <f>SUM(D4:D14)</f>
        <v>3414384.0183613077</v>
      </c>
      <c r="E15" s="210"/>
      <c r="F15" s="210"/>
      <c r="G15" s="205"/>
      <c r="H15" s="207"/>
      <c r="I15" s="208"/>
      <c r="J15" s="208"/>
      <c r="K15" s="200"/>
      <c r="L15" s="201"/>
    </row>
    <row r="16" spans="1:12" x14ac:dyDescent="0.25">
      <c r="A16" s="191"/>
      <c r="B16" s="191"/>
      <c r="C16" s="192"/>
      <c r="D16" s="210"/>
      <c r="E16" s="210"/>
      <c r="F16" s="210"/>
      <c r="G16" s="205"/>
      <c r="H16" s="207"/>
      <c r="I16" s="208"/>
      <c r="J16" s="208"/>
      <c r="K16" s="200"/>
      <c r="L16" s="201"/>
    </row>
    <row r="17" spans="1:12" x14ac:dyDescent="0.25">
      <c r="A17" s="190" t="s">
        <v>283</v>
      </c>
      <c r="B17" s="211" t="s">
        <v>268</v>
      </c>
      <c r="C17" s="192"/>
      <c r="D17" s="212" t="e">
        <f>D2-D15</f>
        <v>#REF!</v>
      </c>
      <c r="E17" s="212">
        <f>+'Development Budget'!E12</f>
        <v>75000</v>
      </c>
      <c r="F17" s="212"/>
      <c r="G17" s="205"/>
      <c r="H17" s="207"/>
      <c r="I17" s="208"/>
      <c r="J17" s="208"/>
      <c r="K17" s="200"/>
      <c r="L17" s="201"/>
    </row>
    <row r="18" spans="1:12" x14ac:dyDescent="0.25">
      <c r="A18" s="191" t="s">
        <v>282</v>
      </c>
      <c r="B18" s="191" t="s">
        <v>269</v>
      </c>
      <c r="C18" s="192" t="s">
        <v>270</v>
      </c>
      <c r="D18" s="213">
        <v>1</v>
      </c>
      <c r="E18" s="213">
        <v>1</v>
      </c>
      <c r="F18" s="213"/>
      <c r="G18" s="207"/>
      <c r="H18" s="207"/>
      <c r="I18" s="208"/>
      <c r="J18" s="208"/>
      <c r="K18" s="200"/>
      <c r="L18" s="201"/>
    </row>
    <row r="19" spans="1:12" x14ac:dyDescent="0.25">
      <c r="A19" s="191" t="s">
        <v>285</v>
      </c>
      <c r="B19" s="191" t="s">
        <v>271</v>
      </c>
      <c r="C19" s="192"/>
      <c r="D19" s="210" t="e">
        <f>D17*D18</f>
        <v>#REF!</v>
      </c>
      <c r="E19" s="210">
        <f>E18*E17</f>
        <v>75000</v>
      </c>
      <c r="F19" s="210"/>
      <c r="G19" s="205"/>
      <c r="H19" s="205"/>
      <c r="I19" s="208"/>
      <c r="J19" s="214"/>
      <c r="K19" s="200"/>
      <c r="L19" s="201"/>
    </row>
    <row r="20" spans="1:12" x14ac:dyDescent="0.25">
      <c r="A20" s="191"/>
      <c r="B20" s="191"/>
      <c r="C20" s="192"/>
      <c r="D20" s="210"/>
      <c r="E20" s="210"/>
      <c r="F20" s="210"/>
      <c r="G20" s="200"/>
      <c r="H20" s="200"/>
      <c r="I20" s="200"/>
      <c r="J20" s="200"/>
      <c r="K20" s="200"/>
      <c r="L20" s="201"/>
    </row>
    <row r="21" spans="1:12" x14ac:dyDescent="0.25">
      <c r="A21" s="191"/>
      <c r="B21" s="191" t="s">
        <v>272</v>
      </c>
      <c r="C21" s="192" t="s">
        <v>270</v>
      </c>
      <c r="D21" s="213">
        <v>1.3</v>
      </c>
      <c r="E21" s="213"/>
      <c r="F21" s="213"/>
      <c r="G21" s="200"/>
      <c r="H21" s="200"/>
      <c r="I21" s="200"/>
      <c r="J21" s="200"/>
      <c r="K21" s="200"/>
      <c r="L21" s="201"/>
    </row>
    <row r="22" spans="1:12" x14ac:dyDescent="0.25">
      <c r="A22" s="191"/>
      <c r="B22" s="191"/>
      <c r="C22" s="192"/>
      <c r="D22" s="210"/>
      <c r="E22" s="210"/>
      <c r="F22" s="210"/>
      <c r="G22" s="198"/>
      <c r="H22" s="200"/>
      <c r="I22" s="200"/>
      <c r="J22" s="200"/>
      <c r="K22" s="200"/>
      <c r="L22" s="201"/>
    </row>
    <row r="23" spans="1:12" x14ac:dyDescent="0.25">
      <c r="A23" s="190" t="s">
        <v>273</v>
      </c>
      <c r="B23" s="191"/>
      <c r="C23" s="192"/>
      <c r="D23" s="215" t="e">
        <f>D19*D21</f>
        <v>#REF!</v>
      </c>
      <c r="E23" s="215">
        <f>+E19</f>
        <v>75000</v>
      </c>
      <c r="F23" s="215"/>
      <c r="G23" s="200"/>
      <c r="H23" s="200"/>
      <c r="I23" s="200"/>
      <c r="J23" s="200"/>
      <c r="K23" s="200"/>
      <c r="L23" s="201"/>
    </row>
    <row r="24" spans="1:12" x14ac:dyDescent="0.25">
      <c r="A24" s="191" t="s">
        <v>274</v>
      </c>
      <c r="B24" s="191" t="s">
        <v>274</v>
      </c>
      <c r="C24" s="192" t="s">
        <v>270</v>
      </c>
      <c r="D24" s="216">
        <v>7.9899999999999999E-2</v>
      </c>
      <c r="E24" s="216">
        <v>3.1899999999999998E-2</v>
      </c>
      <c r="F24" s="216" t="s">
        <v>278</v>
      </c>
      <c r="G24" s="205"/>
      <c r="H24" s="205"/>
      <c r="I24" s="199"/>
      <c r="J24" s="199"/>
      <c r="K24" s="200"/>
      <c r="L24" s="201"/>
    </row>
    <row r="25" spans="1:12" x14ac:dyDescent="0.25">
      <c r="A25" s="217" t="s">
        <v>284</v>
      </c>
      <c r="B25" s="191"/>
      <c r="C25" s="192"/>
      <c r="D25" s="215" t="e">
        <f>D23*D24</f>
        <v>#REF!</v>
      </c>
      <c r="E25" s="215">
        <f>E24*E19</f>
        <v>2392.5</v>
      </c>
      <c r="F25" s="215"/>
      <c r="G25" s="205"/>
      <c r="H25" s="207"/>
      <c r="I25" s="208"/>
      <c r="J25" s="208"/>
      <c r="K25" s="200"/>
      <c r="L25" s="201"/>
    </row>
    <row r="26" spans="1:12" x14ac:dyDescent="0.25">
      <c r="A26" s="191" t="s">
        <v>279</v>
      </c>
      <c r="B26" s="191" t="s">
        <v>275</v>
      </c>
      <c r="C26" s="192" t="s">
        <v>270</v>
      </c>
      <c r="D26" s="218">
        <v>10</v>
      </c>
      <c r="E26" s="218">
        <v>10</v>
      </c>
      <c r="F26" s="218"/>
      <c r="G26" s="205"/>
      <c r="H26" s="207"/>
      <c r="I26" s="208"/>
      <c r="J26" s="208"/>
      <c r="K26" s="200"/>
      <c r="L26" s="201"/>
    </row>
    <row r="27" spans="1:12" x14ac:dyDescent="0.25">
      <c r="A27" s="191" t="s">
        <v>280</v>
      </c>
      <c r="B27" s="190" t="s">
        <v>276</v>
      </c>
      <c r="C27" s="192"/>
      <c r="D27" s="215" t="e">
        <f>D25*D26</f>
        <v>#REF!</v>
      </c>
      <c r="E27" s="215">
        <f>E26*E25</f>
        <v>23925</v>
      </c>
      <c r="F27" s="215"/>
      <c r="G27" s="205"/>
      <c r="H27" s="207"/>
      <c r="I27" s="208"/>
      <c r="J27" s="208"/>
      <c r="K27" s="200"/>
      <c r="L27" s="201"/>
    </row>
    <row r="28" spans="1:12" ht="15.75" thickBot="1" x14ac:dyDescent="0.3">
      <c r="A28" s="191" t="s">
        <v>281</v>
      </c>
      <c r="B28" s="191"/>
      <c r="C28" s="192" t="s">
        <v>270</v>
      </c>
      <c r="D28" s="219">
        <v>0.85</v>
      </c>
      <c r="E28" s="219">
        <v>0.7</v>
      </c>
      <c r="F28" s="219"/>
      <c r="G28" s="205"/>
      <c r="H28" s="205"/>
      <c r="I28" s="208"/>
      <c r="J28" s="214"/>
      <c r="K28" s="200"/>
      <c r="L28" s="201"/>
    </row>
    <row r="29" spans="1:12" ht="16.5" thickTop="1" thickBot="1" x14ac:dyDescent="0.3">
      <c r="A29" s="220" t="s">
        <v>277</v>
      </c>
      <c r="B29" s="221"/>
      <c r="C29" s="222"/>
      <c r="D29" s="223" t="e">
        <f>#REF!-#REF!</f>
        <v>#REF!</v>
      </c>
      <c r="E29" s="224">
        <f>E28*E27</f>
        <v>16747.5</v>
      </c>
      <c r="F29" s="225"/>
      <c r="G29" s="198"/>
      <c r="H29" s="200"/>
      <c r="I29" s="200"/>
      <c r="J29" s="200"/>
      <c r="K29" s="200"/>
      <c r="L29" s="201"/>
    </row>
    <row r="30" spans="1:12" ht="15.75" thickTop="1" x14ac:dyDescent="0.25">
      <c r="A30" s="191"/>
      <c r="B30" s="191"/>
      <c r="C30" s="192"/>
      <c r="D30" s="210"/>
      <c r="E30" s="210"/>
      <c r="F30" s="210"/>
      <c r="G30" s="200"/>
      <c r="H30" s="200"/>
      <c r="I30" s="200"/>
      <c r="J30" s="200"/>
      <c r="K30" s="200"/>
      <c r="L30" s="201"/>
    </row>
    <row r="31" spans="1:12" x14ac:dyDescent="0.25">
      <c r="A31" s="191"/>
      <c r="B31" s="191"/>
      <c r="C31" s="192"/>
      <c r="D31" s="210"/>
      <c r="E31" s="210"/>
      <c r="F31" s="210"/>
      <c r="G31" s="205"/>
      <c r="H31" s="205"/>
      <c r="I31" s="199"/>
      <c r="J31" s="199"/>
      <c r="K31" s="200"/>
      <c r="L31" s="20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H32"/>
  <sheetViews>
    <sheetView zoomScale="75" zoomScaleNormal="75" workbookViewId="0">
      <selection sqref="A1:D32"/>
    </sheetView>
  </sheetViews>
  <sheetFormatPr defaultRowHeight="15" x14ac:dyDescent="0.2"/>
  <cols>
    <col min="1" max="1" width="51.7109375" style="41" bestFit="1" customWidth="1"/>
    <col min="2" max="2" width="15.5703125" style="41" bestFit="1" customWidth="1"/>
    <col min="3" max="3" width="16.140625" style="41" bestFit="1" customWidth="1"/>
    <col min="4" max="4" width="14.28515625" style="41" bestFit="1" customWidth="1"/>
    <col min="5" max="5" width="14.5703125" style="41" bestFit="1" customWidth="1"/>
    <col min="6" max="7" width="9.140625" style="41"/>
    <col min="8" max="8" width="11.42578125" style="41" bestFit="1" customWidth="1"/>
    <col min="9" max="16384" width="9.140625" style="41"/>
  </cols>
  <sheetData>
    <row r="1" spans="1:4" x14ac:dyDescent="0.2">
      <c r="A1" s="341" t="str">
        <f>+'Development Budget'!A2</f>
        <v>474/80 Ocean Avenue</v>
      </c>
      <c r="B1" s="341"/>
      <c r="C1" s="342"/>
      <c r="D1" s="342"/>
    </row>
    <row r="2" spans="1:4" x14ac:dyDescent="0.2">
      <c r="A2" s="341" t="s">
        <v>252</v>
      </c>
      <c r="B2" s="341"/>
      <c r="C2" s="342"/>
      <c r="D2" s="342"/>
    </row>
    <row r="3" spans="1:4" x14ac:dyDescent="0.2">
      <c r="A3" s="343"/>
      <c r="B3" s="343"/>
      <c r="C3" s="342"/>
      <c r="D3" s="342"/>
    </row>
    <row r="4" spans="1:4" x14ac:dyDescent="0.2">
      <c r="A4" s="344"/>
      <c r="B4" s="344"/>
      <c r="C4" s="344" t="s">
        <v>310</v>
      </c>
      <c r="D4" s="344" t="s">
        <v>311</v>
      </c>
    </row>
    <row r="5" spans="1:4" x14ac:dyDescent="0.2">
      <c r="A5" s="344" t="s">
        <v>287</v>
      </c>
      <c r="B5" s="344"/>
      <c r="C5" s="345" t="s">
        <v>288</v>
      </c>
      <c r="D5" s="345" t="s">
        <v>288</v>
      </c>
    </row>
    <row r="6" spans="1:4" x14ac:dyDescent="0.2">
      <c r="A6" s="345" t="s">
        <v>0</v>
      </c>
      <c r="B6" s="345"/>
      <c r="C6" s="346">
        <v>2</v>
      </c>
      <c r="D6" s="346">
        <v>2</v>
      </c>
    </row>
    <row r="7" spans="1:4" x14ac:dyDescent="0.2">
      <c r="A7" s="345" t="s">
        <v>102</v>
      </c>
      <c r="B7" s="345"/>
      <c r="C7" s="345" t="s">
        <v>331</v>
      </c>
      <c r="D7" s="345" t="s">
        <v>331</v>
      </c>
    </row>
    <row r="8" spans="1:4" x14ac:dyDescent="0.2">
      <c r="A8" s="345" t="s">
        <v>82</v>
      </c>
      <c r="B8" s="345"/>
      <c r="C8" s="345">
        <f>+'Project Size'!B5</f>
        <v>1100</v>
      </c>
      <c r="D8" s="345">
        <f>+'Project Size'!B6</f>
        <v>1100</v>
      </c>
    </row>
    <row r="9" spans="1:4" x14ac:dyDescent="0.2">
      <c r="A9" s="345" t="s">
        <v>20</v>
      </c>
      <c r="B9" s="345"/>
      <c r="C9" s="346">
        <v>4</v>
      </c>
      <c r="D9" s="346">
        <v>4</v>
      </c>
    </row>
    <row r="10" spans="1:4" x14ac:dyDescent="0.2">
      <c r="A10" s="345" t="s">
        <v>96</v>
      </c>
      <c r="B10" s="345"/>
      <c r="C10" s="347">
        <f>38550*2</f>
        <v>77100</v>
      </c>
      <c r="D10" s="347">
        <f>38550*2</f>
        <v>77100</v>
      </c>
    </row>
    <row r="11" spans="1:4" x14ac:dyDescent="0.2">
      <c r="A11" s="345" t="s">
        <v>21</v>
      </c>
      <c r="B11" s="345"/>
      <c r="C11" s="348">
        <v>0.51984435797665407</v>
      </c>
      <c r="D11" s="348">
        <v>0.65836575875486381</v>
      </c>
    </row>
    <row r="12" spans="1:4" x14ac:dyDescent="0.2">
      <c r="A12" s="345" t="s">
        <v>22</v>
      </c>
      <c r="B12" s="348">
        <v>0.8</v>
      </c>
      <c r="C12" s="349">
        <f>C10*B12</f>
        <v>61680</v>
      </c>
      <c r="D12" s="349">
        <f>B12*D10</f>
        <v>61680</v>
      </c>
    </row>
    <row r="13" spans="1:4" x14ac:dyDescent="0.2">
      <c r="A13" s="345" t="s">
        <v>214</v>
      </c>
      <c r="B13" s="345"/>
      <c r="C13" s="347">
        <f>C11*C10</f>
        <v>40080.000000000029</v>
      </c>
      <c r="D13" s="347">
        <f>D11*D10</f>
        <v>50760</v>
      </c>
    </row>
    <row r="14" spans="1:4" x14ac:dyDescent="0.2">
      <c r="A14" s="345" t="s">
        <v>105</v>
      </c>
      <c r="B14" s="345"/>
      <c r="C14" s="350">
        <v>0.3</v>
      </c>
      <c r="D14" s="350">
        <v>0.3</v>
      </c>
    </row>
    <row r="15" spans="1:4" x14ac:dyDescent="0.2">
      <c r="A15" s="345" t="s">
        <v>243</v>
      </c>
      <c r="B15" s="345"/>
      <c r="C15" s="347">
        <f>C14*C13</f>
        <v>12024.000000000009</v>
      </c>
      <c r="D15" s="347">
        <f>D14*D13</f>
        <v>15228</v>
      </c>
    </row>
    <row r="16" spans="1:4" x14ac:dyDescent="0.2">
      <c r="A16" s="345" t="s">
        <v>312</v>
      </c>
      <c r="B16" s="345"/>
      <c r="C16" s="347">
        <f>C15/12</f>
        <v>1002.0000000000008</v>
      </c>
      <c r="D16" s="347">
        <f>D15/12</f>
        <v>1269</v>
      </c>
    </row>
    <row r="17" spans="1:8" x14ac:dyDescent="0.2">
      <c r="A17" s="345" t="s">
        <v>84</v>
      </c>
      <c r="B17" s="345"/>
      <c r="C17" s="347">
        <f>+C32</f>
        <v>204</v>
      </c>
      <c r="D17" s="347">
        <f>+C32</f>
        <v>204</v>
      </c>
    </row>
    <row r="18" spans="1:8" x14ac:dyDescent="0.2">
      <c r="A18" s="345" t="s">
        <v>94</v>
      </c>
      <c r="B18" s="345"/>
      <c r="C18" s="347">
        <f>C16-C17</f>
        <v>798.0000000000008</v>
      </c>
      <c r="D18" s="347">
        <f>D16-D17</f>
        <v>1065</v>
      </c>
    </row>
    <row r="19" spans="1:8" ht="15" customHeight="1" x14ac:dyDescent="0.2">
      <c r="A19" s="345" t="s">
        <v>23</v>
      </c>
      <c r="B19" s="345"/>
      <c r="C19" s="351">
        <f>C18*12</f>
        <v>9576.0000000000091</v>
      </c>
      <c r="D19" s="351">
        <f>D18*12</f>
        <v>12780</v>
      </c>
    </row>
    <row r="20" spans="1:8" x14ac:dyDescent="0.2">
      <c r="A20" s="344" t="s">
        <v>24</v>
      </c>
      <c r="B20" s="344"/>
      <c r="C20" s="352">
        <f>C19*C6</f>
        <v>19152.000000000018</v>
      </c>
      <c r="D20" s="352">
        <f>D19*D6</f>
        <v>25560</v>
      </c>
      <c r="E20" s="47"/>
    </row>
    <row r="21" spans="1:8" x14ac:dyDescent="0.2">
      <c r="A21" s="353"/>
      <c r="B21" s="353"/>
      <c r="C21" s="354"/>
      <c r="D21" s="342"/>
      <c r="G21" s="41">
        <v>1682</v>
      </c>
      <c r="H21" s="47">
        <f>G21-D18</f>
        <v>617</v>
      </c>
    </row>
    <row r="22" spans="1:8" x14ac:dyDescent="0.2">
      <c r="A22" s="353" t="s">
        <v>244</v>
      </c>
      <c r="B22" s="355">
        <f>D20+C20</f>
        <v>44712.000000000015</v>
      </c>
      <c r="C22" s="354"/>
      <c r="D22" s="342"/>
      <c r="H22" s="47">
        <f>G21-C18</f>
        <v>883.9999999999992</v>
      </c>
    </row>
    <row r="23" spans="1:8" x14ac:dyDescent="0.2">
      <c r="A23" s="342"/>
      <c r="B23" s="342"/>
      <c r="C23" s="342"/>
      <c r="D23" s="342"/>
      <c r="E23" s="47"/>
    </row>
    <row r="24" spans="1:8" x14ac:dyDescent="0.2">
      <c r="A24" s="353" t="s">
        <v>240</v>
      </c>
      <c r="B24" s="353"/>
      <c r="C24" s="245" t="s">
        <v>333</v>
      </c>
      <c r="D24" s="342"/>
    </row>
    <row r="25" spans="1:8" x14ac:dyDescent="0.2">
      <c r="A25" s="356" t="s">
        <v>103</v>
      </c>
      <c r="B25" s="356"/>
      <c r="C25" s="238">
        <v>82</v>
      </c>
      <c r="D25" s="342"/>
    </row>
    <row r="26" spans="1:8" x14ac:dyDescent="0.2">
      <c r="A26" s="356" t="s">
        <v>241</v>
      </c>
      <c r="B26" s="356"/>
      <c r="C26" s="262">
        <v>15</v>
      </c>
      <c r="D26" s="342"/>
    </row>
    <row r="27" spans="1:8" x14ac:dyDescent="0.2">
      <c r="A27" s="356" t="s">
        <v>104</v>
      </c>
      <c r="B27" s="356"/>
      <c r="C27" s="262">
        <v>60</v>
      </c>
      <c r="D27" s="342"/>
    </row>
    <row r="28" spans="1:8" x14ac:dyDescent="0.2">
      <c r="A28" s="356" t="s">
        <v>91</v>
      </c>
      <c r="B28" s="356"/>
      <c r="C28" s="262">
        <v>19</v>
      </c>
      <c r="D28" s="342"/>
    </row>
    <row r="29" spans="1:8" x14ac:dyDescent="0.2">
      <c r="A29" s="356" t="s">
        <v>242</v>
      </c>
      <c r="B29" s="356"/>
      <c r="C29" s="262">
        <v>18</v>
      </c>
      <c r="D29" s="342"/>
    </row>
    <row r="30" spans="1:8" x14ac:dyDescent="0.2">
      <c r="A30" s="356" t="s">
        <v>89</v>
      </c>
      <c r="B30" s="356"/>
      <c r="C30" s="262">
        <v>5</v>
      </c>
      <c r="D30" s="342"/>
    </row>
    <row r="31" spans="1:8" x14ac:dyDescent="0.2">
      <c r="A31" s="356" t="s">
        <v>90</v>
      </c>
      <c r="B31" s="356"/>
      <c r="C31" s="262">
        <v>5</v>
      </c>
      <c r="D31" s="342"/>
    </row>
    <row r="32" spans="1:8" s="49" customFormat="1" ht="15.75" x14ac:dyDescent="0.25">
      <c r="A32" s="353" t="s">
        <v>19</v>
      </c>
      <c r="B32" s="353"/>
      <c r="C32" s="295">
        <f>SUM(C25:C31)</f>
        <v>204</v>
      </c>
      <c r="D32" s="343"/>
    </row>
  </sheetData>
  <dataConsolidate/>
  <phoneticPr fontId="3" type="noConversion"/>
  <pageMargins left="0.75" right="0.75" top="1" bottom="1" header="0.5" footer="0.5"/>
  <pageSetup scale="75" orientation="landscape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:R60"/>
  <sheetViews>
    <sheetView topLeftCell="A7" workbookViewId="0">
      <selection activeCell="C38" sqref="C38"/>
    </sheetView>
  </sheetViews>
  <sheetFormatPr defaultRowHeight="12.75" x14ac:dyDescent="0.2"/>
  <cols>
    <col min="1" max="1" width="39.140625" style="52" customWidth="1"/>
    <col min="2" max="2" width="7.28515625" style="52" customWidth="1"/>
    <col min="3" max="3" width="45.7109375" style="55" bestFit="1" customWidth="1"/>
    <col min="4" max="4" width="13.7109375" style="55" bestFit="1" customWidth="1"/>
    <col min="5" max="5" width="12.28515625" style="55" bestFit="1" customWidth="1"/>
    <col min="6" max="17" width="12.28515625" style="52" bestFit="1" customWidth="1"/>
    <col min="18" max="16384" width="9.140625" style="52"/>
  </cols>
  <sheetData>
    <row r="1" spans="1:18" ht="18" x14ac:dyDescent="0.25">
      <c r="A1" s="58" t="s">
        <v>25</v>
      </c>
      <c r="B1" s="58"/>
      <c r="J1" s="59"/>
      <c r="K1" s="53"/>
      <c r="L1" s="58"/>
    </row>
    <row r="2" spans="1:18" ht="18" x14ac:dyDescent="0.25">
      <c r="A2" s="58" t="s">
        <v>78</v>
      </c>
      <c r="B2" s="58"/>
      <c r="F2" s="52" t="s">
        <v>194</v>
      </c>
      <c r="G2" s="105">
        <v>18000</v>
      </c>
      <c r="H2" s="52">
        <f>G2/28</f>
        <v>642.85714285714289</v>
      </c>
      <c r="J2" s="53"/>
      <c r="K2" s="54"/>
      <c r="L2" s="58"/>
    </row>
    <row r="3" spans="1:18" ht="18" x14ac:dyDescent="0.25">
      <c r="A3" s="58" t="s">
        <v>26</v>
      </c>
      <c r="B3" s="58"/>
      <c r="E3" s="61"/>
      <c r="H3" s="52">
        <f>H2*12</f>
        <v>7714.2857142857147</v>
      </c>
      <c r="J3" s="53"/>
      <c r="K3" s="53"/>
      <c r="L3" s="58"/>
    </row>
    <row r="5" spans="1:18" x14ac:dyDescent="0.2">
      <c r="A5" s="52" t="s">
        <v>0</v>
      </c>
      <c r="C5" s="55">
        <v>12</v>
      </c>
    </row>
    <row r="6" spans="1:18" x14ac:dyDescent="0.2">
      <c r="A6" s="52" t="s">
        <v>27</v>
      </c>
      <c r="C6" s="60">
        <v>0.03</v>
      </c>
      <c r="E6" s="61">
        <f>1517/12/12</f>
        <v>10.534722222222223</v>
      </c>
    </row>
    <row r="7" spans="1:18" x14ac:dyDescent="0.2">
      <c r="A7" s="52" t="s">
        <v>28</v>
      </c>
      <c r="C7" s="60">
        <v>0.04</v>
      </c>
    </row>
    <row r="8" spans="1:18" x14ac:dyDescent="0.2">
      <c r="C8" s="61"/>
      <c r="E8" s="62"/>
      <c r="F8" s="63"/>
      <c r="G8" s="63"/>
      <c r="H8" s="63"/>
      <c r="I8" s="63"/>
      <c r="J8" s="63"/>
      <c r="K8" s="63"/>
      <c r="L8" s="63"/>
    </row>
    <row r="9" spans="1:18" s="1" customFormat="1" x14ac:dyDescent="0.2">
      <c r="A9" s="1" t="s">
        <v>27</v>
      </c>
      <c r="C9" s="64" t="s">
        <v>29</v>
      </c>
      <c r="D9" s="64" t="s">
        <v>30</v>
      </c>
      <c r="E9" s="65" t="s">
        <v>31</v>
      </c>
      <c r="F9" s="66" t="s">
        <v>37</v>
      </c>
      <c r="G9" s="66" t="s">
        <v>38</v>
      </c>
      <c r="H9" s="66" t="s">
        <v>39</v>
      </c>
      <c r="I9" s="66" t="s">
        <v>40</v>
      </c>
      <c r="J9" s="66" t="s">
        <v>41</v>
      </c>
      <c r="K9" s="66" t="s">
        <v>42</v>
      </c>
      <c r="L9" s="66" t="s">
        <v>43</v>
      </c>
      <c r="M9" s="66" t="s">
        <v>97</v>
      </c>
      <c r="N9" s="66" t="s">
        <v>98</v>
      </c>
      <c r="O9" s="66" t="s">
        <v>99</v>
      </c>
      <c r="P9" s="66" t="s">
        <v>100</v>
      </c>
      <c r="Q9" s="66" t="s">
        <v>101</v>
      </c>
    </row>
    <row r="10" spans="1:18" x14ac:dyDescent="0.2">
      <c r="A10" s="52" t="s">
        <v>184</v>
      </c>
      <c r="C10" s="61" t="e">
        <f>+'Rent Roll'!#REF!</f>
        <v>#REF!</v>
      </c>
      <c r="D10" s="61" t="e">
        <f>C10*$C$6+C10</f>
        <v>#REF!</v>
      </c>
      <c r="E10" s="61" t="e">
        <f t="shared" ref="E10:K10" si="0">D10*$C$6+D10</f>
        <v>#REF!</v>
      </c>
      <c r="F10" s="61" t="e">
        <f t="shared" si="0"/>
        <v>#REF!</v>
      </c>
      <c r="G10" s="61" t="e">
        <f t="shared" si="0"/>
        <v>#REF!</v>
      </c>
      <c r="H10" s="61" t="e">
        <f t="shared" si="0"/>
        <v>#REF!</v>
      </c>
      <c r="I10" s="61" t="e">
        <f t="shared" si="0"/>
        <v>#REF!</v>
      </c>
      <c r="J10" s="61" t="e">
        <f t="shared" si="0"/>
        <v>#REF!</v>
      </c>
      <c r="K10" s="61" t="e">
        <f t="shared" si="0"/>
        <v>#REF!</v>
      </c>
      <c r="L10" s="61" t="e">
        <f t="shared" ref="L10" si="1">K10*$C$6+K10</f>
        <v>#REF!</v>
      </c>
      <c r="M10" s="61" t="e">
        <f t="shared" ref="M10" si="2">L10*$C$6+L10</f>
        <v>#REF!</v>
      </c>
      <c r="N10" s="61" t="e">
        <f t="shared" ref="N10" si="3">M10*$C$6+M10</f>
        <v>#REF!</v>
      </c>
      <c r="O10" s="61" t="e">
        <f t="shared" ref="O10" si="4">N10*$C$6+N10</f>
        <v>#REF!</v>
      </c>
      <c r="P10" s="61" t="e">
        <f t="shared" ref="P10" si="5">O10*$C$6+O10</f>
        <v>#REF!</v>
      </c>
      <c r="Q10" s="61" t="e">
        <f t="shared" ref="Q10" si="6">P10*$C$6+P10</f>
        <v>#REF!</v>
      </c>
    </row>
    <row r="11" spans="1:18" x14ac:dyDescent="0.2">
      <c r="A11" s="52" t="s">
        <v>32</v>
      </c>
      <c r="B11" s="68">
        <v>0.09</v>
      </c>
      <c r="C11" s="61" t="e">
        <f>B11*C10</f>
        <v>#REF!</v>
      </c>
      <c r="D11" s="61" t="e">
        <f>D10*$B$11</f>
        <v>#REF!</v>
      </c>
      <c r="E11" s="61" t="e">
        <f t="shared" ref="E11:Q11" si="7">E10*$B$11</f>
        <v>#REF!</v>
      </c>
      <c r="F11" s="61" t="e">
        <f t="shared" si="7"/>
        <v>#REF!</v>
      </c>
      <c r="G11" s="61" t="e">
        <f t="shared" si="7"/>
        <v>#REF!</v>
      </c>
      <c r="H11" s="61" t="e">
        <f t="shared" si="7"/>
        <v>#REF!</v>
      </c>
      <c r="I11" s="61" t="e">
        <f t="shared" si="7"/>
        <v>#REF!</v>
      </c>
      <c r="J11" s="61" t="e">
        <f t="shared" si="7"/>
        <v>#REF!</v>
      </c>
      <c r="K11" s="61" t="e">
        <f t="shared" si="7"/>
        <v>#REF!</v>
      </c>
      <c r="L11" s="61" t="e">
        <f t="shared" si="7"/>
        <v>#REF!</v>
      </c>
      <c r="M11" s="61" t="e">
        <f t="shared" si="7"/>
        <v>#REF!</v>
      </c>
      <c r="N11" s="61" t="e">
        <f t="shared" si="7"/>
        <v>#REF!</v>
      </c>
      <c r="O11" s="61" t="e">
        <f t="shared" si="7"/>
        <v>#REF!</v>
      </c>
      <c r="P11" s="61" t="e">
        <f t="shared" si="7"/>
        <v>#REF!</v>
      </c>
      <c r="Q11" s="61" t="e">
        <f t="shared" si="7"/>
        <v>#REF!</v>
      </c>
    </row>
    <row r="12" spans="1:18" x14ac:dyDescent="0.2">
      <c r="A12" s="52" t="s">
        <v>185</v>
      </c>
      <c r="C12" s="61" t="e">
        <f>C10-C11</f>
        <v>#REF!</v>
      </c>
      <c r="D12" s="61" t="e">
        <f>D10-D11</f>
        <v>#REF!</v>
      </c>
      <c r="E12" s="61" t="e">
        <f t="shared" ref="E12:Q12" si="8">E10-E11</f>
        <v>#REF!</v>
      </c>
      <c r="F12" s="61" t="e">
        <f t="shared" si="8"/>
        <v>#REF!</v>
      </c>
      <c r="G12" s="61" t="e">
        <f t="shared" si="8"/>
        <v>#REF!</v>
      </c>
      <c r="H12" s="61" t="e">
        <f t="shared" si="8"/>
        <v>#REF!</v>
      </c>
      <c r="I12" s="61" t="e">
        <f t="shared" si="8"/>
        <v>#REF!</v>
      </c>
      <c r="J12" s="61" t="e">
        <f t="shared" si="8"/>
        <v>#REF!</v>
      </c>
      <c r="K12" s="61" t="e">
        <f t="shared" si="8"/>
        <v>#REF!</v>
      </c>
      <c r="L12" s="61" t="e">
        <f t="shared" si="8"/>
        <v>#REF!</v>
      </c>
      <c r="M12" s="61" t="e">
        <f t="shared" si="8"/>
        <v>#REF!</v>
      </c>
      <c r="N12" s="61" t="e">
        <f t="shared" si="8"/>
        <v>#REF!</v>
      </c>
      <c r="O12" s="61" t="e">
        <f t="shared" si="8"/>
        <v>#REF!</v>
      </c>
      <c r="P12" s="61" t="e">
        <f t="shared" si="8"/>
        <v>#REF!</v>
      </c>
      <c r="Q12" s="61" t="e">
        <f t="shared" si="8"/>
        <v>#REF!</v>
      </c>
    </row>
    <row r="13" spans="1:18" s="55" customFormat="1" x14ac:dyDescent="0.2">
      <c r="A13" s="55" t="s">
        <v>186</v>
      </c>
      <c r="C13" s="61" t="e">
        <f>+'Rent Roll'!#REF!</f>
        <v>#REF!</v>
      </c>
      <c r="D13" s="61" t="e">
        <f>C13*$C$6+C13</f>
        <v>#REF!</v>
      </c>
      <c r="E13" s="61" t="e">
        <f t="shared" ref="E13:J13" si="9">D13*$C$6+D13</f>
        <v>#REF!</v>
      </c>
      <c r="F13" s="61" t="e">
        <f t="shared" si="9"/>
        <v>#REF!</v>
      </c>
      <c r="G13" s="61" t="e">
        <f t="shared" si="9"/>
        <v>#REF!</v>
      </c>
      <c r="H13" s="61" t="e">
        <f t="shared" si="9"/>
        <v>#REF!</v>
      </c>
      <c r="I13" s="61" t="e">
        <f t="shared" si="9"/>
        <v>#REF!</v>
      </c>
      <c r="J13" s="61" t="e">
        <f t="shared" si="9"/>
        <v>#REF!</v>
      </c>
      <c r="K13" s="61" t="e">
        <f t="shared" ref="K13" si="10">J13*$C$6+J13</f>
        <v>#REF!</v>
      </c>
      <c r="L13" s="61" t="e">
        <f t="shared" ref="L13" si="11">K13*$C$6+K13</f>
        <v>#REF!</v>
      </c>
      <c r="M13" s="61" t="e">
        <f t="shared" ref="M13" si="12">L13*$C$6+L13</f>
        <v>#REF!</v>
      </c>
      <c r="N13" s="61" t="e">
        <f t="shared" ref="N13" si="13">M13*$C$6+M13</f>
        <v>#REF!</v>
      </c>
      <c r="O13" s="61" t="e">
        <f t="shared" ref="O13" si="14">N13*$C$6+N13</f>
        <v>#REF!</v>
      </c>
      <c r="P13" s="61" t="e">
        <f t="shared" ref="P13" si="15">O13*$C$6+O13</f>
        <v>#REF!</v>
      </c>
      <c r="Q13" s="61" t="e">
        <f t="shared" ref="Q13" si="16">P13*$C$6+P13</f>
        <v>#REF!</v>
      </c>
    </row>
    <row r="14" spans="1:18" s="55" customFormat="1" x14ac:dyDescent="0.2">
      <c r="A14" s="55" t="s">
        <v>187</v>
      </c>
      <c r="B14" s="60">
        <v>0.09</v>
      </c>
      <c r="C14" s="61" t="e">
        <f>C13*B14</f>
        <v>#REF!</v>
      </c>
      <c r="D14" s="61" t="e">
        <f t="shared" ref="D14:Q14" si="17">D13*$B$14</f>
        <v>#REF!</v>
      </c>
      <c r="E14" s="61" t="e">
        <f t="shared" si="17"/>
        <v>#REF!</v>
      </c>
      <c r="F14" s="61" t="e">
        <f t="shared" si="17"/>
        <v>#REF!</v>
      </c>
      <c r="G14" s="61" t="e">
        <f t="shared" si="17"/>
        <v>#REF!</v>
      </c>
      <c r="H14" s="61" t="e">
        <f t="shared" si="17"/>
        <v>#REF!</v>
      </c>
      <c r="I14" s="61" t="e">
        <f t="shared" si="17"/>
        <v>#REF!</v>
      </c>
      <c r="J14" s="61" t="e">
        <f t="shared" si="17"/>
        <v>#REF!</v>
      </c>
      <c r="K14" s="61" t="e">
        <f t="shared" si="17"/>
        <v>#REF!</v>
      </c>
      <c r="L14" s="61" t="e">
        <f t="shared" si="17"/>
        <v>#REF!</v>
      </c>
      <c r="M14" s="61" t="e">
        <f t="shared" si="17"/>
        <v>#REF!</v>
      </c>
      <c r="N14" s="61" t="e">
        <f t="shared" si="17"/>
        <v>#REF!</v>
      </c>
      <c r="O14" s="61" t="e">
        <f t="shared" si="17"/>
        <v>#REF!</v>
      </c>
      <c r="P14" s="61" t="e">
        <f t="shared" si="17"/>
        <v>#REF!</v>
      </c>
      <c r="Q14" s="61" t="e">
        <f t="shared" si="17"/>
        <v>#REF!</v>
      </c>
      <c r="R14" s="61"/>
    </row>
    <row r="15" spans="1:18" s="55" customFormat="1" x14ac:dyDescent="0.2">
      <c r="A15" s="55" t="s">
        <v>188</v>
      </c>
      <c r="C15" s="61" t="e">
        <f>C13-C14</f>
        <v>#REF!</v>
      </c>
      <c r="D15" s="61" t="e">
        <f t="shared" ref="D15:Q15" si="18">D13-D14</f>
        <v>#REF!</v>
      </c>
      <c r="E15" s="61" t="e">
        <f t="shared" si="18"/>
        <v>#REF!</v>
      </c>
      <c r="F15" s="61" t="e">
        <f t="shared" si="18"/>
        <v>#REF!</v>
      </c>
      <c r="G15" s="61" t="e">
        <f t="shared" si="18"/>
        <v>#REF!</v>
      </c>
      <c r="H15" s="61" t="e">
        <f t="shared" si="18"/>
        <v>#REF!</v>
      </c>
      <c r="I15" s="61" t="e">
        <f t="shared" si="18"/>
        <v>#REF!</v>
      </c>
      <c r="J15" s="61" t="e">
        <f t="shared" si="18"/>
        <v>#REF!</v>
      </c>
      <c r="K15" s="61" t="e">
        <f t="shared" si="18"/>
        <v>#REF!</v>
      </c>
      <c r="L15" s="61" t="e">
        <f t="shared" si="18"/>
        <v>#REF!</v>
      </c>
      <c r="M15" s="61" t="e">
        <f t="shared" si="18"/>
        <v>#REF!</v>
      </c>
      <c r="N15" s="61" t="e">
        <f t="shared" si="18"/>
        <v>#REF!</v>
      </c>
      <c r="O15" s="61" t="e">
        <f t="shared" si="18"/>
        <v>#REF!</v>
      </c>
      <c r="P15" s="61" t="e">
        <f t="shared" si="18"/>
        <v>#REF!</v>
      </c>
      <c r="Q15" s="61" t="e">
        <f t="shared" si="18"/>
        <v>#REF!</v>
      </c>
    </row>
    <row r="16" spans="1:18" s="55" customFormat="1" x14ac:dyDescent="0.2">
      <c r="A16" s="55" t="s">
        <v>189</v>
      </c>
      <c r="C16" s="61" t="e">
        <f>C12+C15</f>
        <v>#REF!</v>
      </c>
      <c r="D16" s="61" t="e">
        <f t="shared" ref="D16:Q16" si="19">D15+D12</f>
        <v>#REF!</v>
      </c>
      <c r="E16" s="61" t="e">
        <f t="shared" si="19"/>
        <v>#REF!</v>
      </c>
      <c r="F16" s="61" t="e">
        <f t="shared" si="19"/>
        <v>#REF!</v>
      </c>
      <c r="G16" s="61" t="e">
        <f t="shared" si="19"/>
        <v>#REF!</v>
      </c>
      <c r="H16" s="61" t="e">
        <f t="shared" si="19"/>
        <v>#REF!</v>
      </c>
      <c r="I16" s="61" t="e">
        <f t="shared" si="19"/>
        <v>#REF!</v>
      </c>
      <c r="J16" s="61" t="e">
        <f t="shared" si="19"/>
        <v>#REF!</v>
      </c>
      <c r="K16" s="61" t="e">
        <f t="shared" si="19"/>
        <v>#REF!</v>
      </c>
      <c r="L16" s="61" t="e">
        <f t="shared" si="19"/>
        <v>#REF!</v>
      </c>
      <c r="M16" s="61" t="e">
        <f t="shared" si="19"/>
        <v>#REF!</v>
      </c>
      <c r="N16" s="61" t="e">
        <f t="shared" si="19"/>
        <v>#REF!</v>
      </c>
      <c r="O16" s="61" t="e">
        <f t="shared" si="19"/>
        <v>#REF!</v>
      </c>
      <c r="P16" s="61" t="e">
        <f t="shared" si="19"/>
        <v>#REF!</v>
      </c>
      <c r="Q16" s="61" t="e">
        <f t="shared" si="19"/>
        <v>#REF!</v>
      </c>
    </row>
    <row r="17" spans="1:17" s="110" customFormat="1" x14ac:dyDescent="0.2">
      <c r="A17" s="110" t="s">
        <v>190</v>
      </c>
      <c r="C17" s="111">
        <v>1517</v>
      </c>
      <c r="D17" s="111">
        <f>C17*$C$6+C17</f>
        <v>1562.51</v>
      </c>
      <c r="E17" s="111">
        <f t="shared" ref="E17:Q17" si="20">D17*$C$6+D17</f>
        <v>1609.3852999999999</v>
      </c>
      <c r="F17" s="111">
        <f t="shared" si="20"/>
        <v>1657.6668589999999</v>
      </c>
      <c r="G17" s="111">
        <f t="shared" si="20"/>
        <v>1707.3968647699999</v>
      </c>
      <c r="H17" s="111">
        <f t="shared" si="20"/>
        <v>1758.6187707130998</v>
      </c>
      <c r="I17" s="111">
        <f t="shared" si="20"/>
        <v>1811.3773338344929</v>
      </c>
      <c r="J17" s="111">
        <f t="shared" si="20"/>
        <v>1865.7186538495278</v>
      </c>
      <c r="K17" s="111">
        <f t="shared" si="20"/>
        <v>1921.6902134650136</v>
      </c>
      <c r="L17" s="111">
        <f t="shared" si="20"/>
        <v>1979.340919868964</v>
      </c>
      <c r="M17" s="111">
        <f t="shared" si="20"/>
        <v>2038.7211474650328</v>
      </c>
      <c r="N17" s="111">
        <f t="shared" si="20"/>
        <v>2099.8827818889836</v>
      </c>
      <c r="O17" s="111">
        <f t="shared" si="20"/>
        <v>2162.879265345653</v>
      </c>
      <c r="P17" s="111">
        <f t="shared" si="20"/>
        <v>2227.7656433060224</v>
      </c>
      <c r="Q17" s="111">
        <f t="shared" si="20"/>
        <v>2294.598612605203</v>
      </c>
    </row>
    <row r="18" spans="1:17" s="125" customFormat="1" x14ac:dyDescent="0.2">
      <c r="A18" s="125" t="s">
        <v>197</v>
      </c>
      <c r="C18" s="107"/>
      <c r="D18" s="107">
        <v>130.28696000001264</v>
      </c>
      <c r="E18" s="107">
        <v>293.82572879999714</v>
      </c>
      <c r="F18" s="107">
        <v>492.78758866400284</v>
      </c>
      <c r="G18" s="107">
        <v>729.45590944393427</v>
      </c>
      <c r="H18" s="107">
        <v>1006.2313891720498</v>
      </c>
      <c r="I18" s="107">
        <v>1325.6375269897826</v>
      </c>
      <c r="J18" s="107">
        <v>1690.3263383877879</v>
      </c>
      <c r="K18" s="107">
        <v>2103.0843231512517</v>
      </c>
      <c r="L18" s="107">
        <v>2566.8386968420832</v>
      </c>
      <c r="M18" s="107">
        <v>3084.6638971034567</v>
      </c>
      <c r="N18" s="107">
        <v>3659.7883765470042</v>
      </c>
      <c r="O18" s="107">
        <v>4295.6016944750363</v>
      </c>
      <c r="P18" s="107">
        <v>4995.6619202061192</v>
      </c>
      <c r="Q18" s="107">
        <v>5763.7033613051253</v>
      </c>
    </row>
    <row r="19" spans="1:17" s="64" customFormat="1" x14ac:dyDescent="0.2">
      <c r="A19" s="64" t="s">
        <v>108</v>
      </c>
      <c r="C19" s="109" t="e">
        <f>C18+C17+C16</f>
        <v>#REF!</v>
      </c>
      <c r="D19" s="109" t="e">
        <f t="shared" ref="D19:Q19" si="21">D18+D17+D16</f>
        <v>#REF!</v>
      </c>
      <c r="E19" s="109" t="e">
        <f t="shared" si="21"/>
        <v>#REF!</v>
      </c>
      <c r="F19" s="109" t="e">
        <f t="shared" si="21"/>
        <v>#REF!</v>
      </c>
      <c r="G19" s="109" t="e">
        <f t="shared" si="21"/>
        <v>#REF!</v>
      </c>
      <c r="H19" s="109" t="e">
        <f t="shared" si="21"/>
        <v>#REF!</v>
      </c>
      <c r="I19" s="109" t="e">
        <f t="shared" si="21"/>
        <v>#REF!</v>
      </c>
      <c r="J19" s="109" t="e">
        <f t="shared" si="21"/>
        <v>#REF!</v>
      </c>
      <c r="K19" s="109" t="e">
        <f t="shared" si="21"/>
        <v>#REF!</v>
      </c>
      <c r="L19" s="109" t="e">
        <f t="shared" si="21"/>
        <v>#REF!</v>
      </c>
      <c r="M19" s="109" t="e">
        <f t="shared" si="21"/>
        <v>#REF!</v>
      </c>
      <c r="N19" s="109" t="e">
        <f t="shared" si="21"/>
        <v>#REF!</v>
      </c>
      <c r="O19" s="109" t="e">
        <f t="shared" si="21"/>
        <v>#REF!</v>
      </c>
      <c r="P19" s="109" t="e">
        <f t="shared" si="21"/>
        <v>#REF!</v>
      </c>
      <c r="Q19" s="109" t="e">
        <f t="shared" si="21"/>
        <v>#REF!</v>
      </c>
    </row>
    <row r="20" spans="1:17" s="55" customFormat="1" x14ac:dyDescent="0.2">
      <c r="C20" s="61"/>
      <c r="D20" s="61"/>
      <c r="E20" s="67"/>
      <c r="F20" s="62"/>
      <c r="G20" s="62"/>
      <c r="H20" s="62"/>
      <c r="I20" s="62"/>
      <c r="J20" s="62"/>
      <c r="K20" s="62"/>
      <c r="L20" s="62"/>
    </row>
    <row r="21" spans="1:17" s="55" customFormat="1" x14ac:dyDescent="0.2">
      <c r="C21" s="56"/>
      <c r="D21" s="56"/>
      <c r="E21" s="76"/>
      <c r="F21" s="76"/>
      <c r="G21" s="76"/>
      <c r="H21" s="76"/>
      <c r="I21" s="76"/>
      <c r="J21" s="76"/>
      <c r="K21" s="76"/>
      <c r="L21" s="76"/>
      <c r="M21" s="56"/>
      <c r="N21" s="56"/>
      <c r="O21" s="56"/>
      <c r="P21" s="56"/>
      <c r="Q21" s="56"/>
    </row>
    <row r="22" spans="1:17" s="55" customFormat="1" x14ac:dyDescent="0.2">
      <c r="A22" s="64" t="s">
        <v>28</v>
      </c>
      <c r="C22" s="56"/>
      <c r="D22" s="56"/>
      <c r="E22" s="76"/>
      <c r="F22" s="76"/>
      <c r="G22" s="76"/>
      <c r="H22" s="76"/>
      <c r="I22" s="76"/>
      <c r="J22" s="76"/>
      <c r="K22" s="76"/>
      <c r="L22" s="76"/>
      <c r="M22" s="56"/>
      <c r="N22" s="56"/>
      <c r="O22" s="56"/>
      <c r="P22" s="56"/>
      <c r="Q22" s="56"/>
    </row>
    <row r="23" spans="1:17" s="55" customFormat="1" ht="25.5" x14ac:dyDescent="0.2">
      <c r="A23" s="69" t="s">
        <v>106</v>
      </c>
      <c r="C23" s="56">
        <v>16000</v>
      </c>
      <c r="D23" s="56">
        <f t="shared" ref="D23" si="22">C23*$C$7+C23</f>
        <v>16640</v>
      </c>
      <c r="E23" s="56">
        <f t="shared" ref="E23:E26" si="23">D23*$C$7+D23</f>
        <v>17305.599999999999</v>
      </c>
      <c r="F23" s="56">
        <f t="shared" ref="F23:F26" si="24">E23*$C$7+E23</f>
        <v>17997.823999999997</v>
      </c>
      <c r="G23" s="56">
        <f t="shared" ref="G23:G26" si="25">F23*$C$7+F23</f>
        <v>18717.736959999998</v>
      </c>
      <c r="H23" s="56">
        <f t="shared" ref="H23:H26" si="26">G23*$C$7+G23</f>
        <v>19466.446438399998</v>
      </c>
      <c r="I23" s="56">
        <f t="shared" ref="I23:I26" si="27">H23*$C$7+H23</f>
        <v>20245.104295935998</v>
      </c>
      <c r="J23" s="56">
        <f t="shared" ref="J23:J26" si="28">I23*$C$7+I23</f>
        <v>21054.908467773439</v>
      </c>
      <c r="K23" s="56">
        <f t="shared" ref="K23:K26" si="29">J23*$C$7+J23</f>
        <v>21897.104806484378</v>
      </c>
      <c r="L23" s="56">
        <f t="shared" ref="L23:L26" si="30">K23*$C$7+K23</f>
        <v>22772.988998743753</v>
      </c>
      <c r="M23" s="56">
        <f t="shared" ref="M23:M26" si="31">L23*$C$7+L23</f>
        <v>23683.908558693503</v>
      </c>
      <c r="N23" s="56">
        <f t="shared" ref="N23:N26" si="32">M23*$C$7+M23</f>
        <v>24631.264901041242</v>
      </c>
      <c r="O23" s="56">
        <f t="shared" ref="O23:O26" si="33">N23*$C$7+N23</f>
        <v>25616.515497082892</v>
      </c>
      <c r="P23" s="56">
        <f t="shared" ref="P23:P26" si="34">O23*$C$7+O23</f>
        <v>26641.176116966206</v>
      </c>
      <c r="Q23" s="56">
        <f t="shared" ref="Q23:Q26" si="35">P23*$C$7+P23</f>
        <v>27706.823161644854</v>
      </c>
    </row>
    <row r="24" spans="1:17" s="55" customFormat="1" x14ac:dyDescent="0.2">
      <c r="A24" s="55" t="s">
        <v>33</v>
      </c>
      <c r="B24" s="55">
        <v>550</v>
      </c>
      <c r="C24" s="108">
        <v>6600</v>
      </c>
      <c r="D24" s="56">
        <f t="shared" ref="D24:D26" si="36">C24*$C$7+C24</f>
        <v>6864</v>
      </c>
      <c r="E24" s="56">
        <f t="shared" si="23"/>
        <v>7138.56</v>
      </c>
      <c r="F24" s="56">
        <f t="shared" si="24"/>
        <v>7424.1024000000007</v>
      </c>
      <c r="G24" s="56">
        <f t="shared" si="25"/>
        <v>7721.0664960000004</v>
      </c>
      <c r="H24" s="56">
        <f t="shared" si="26"/>
        <v>8029.9091558400005</v>
      </c>
      <c r="I24" s="56">
        <f t="shared" si="27"/>
        <v>8351.1055220735998</v>
      </c>
      <c r="J24" s="56">
        <f t="shared" si="28"/>
        <v>8685.1497429565443</v>
      </c>
      <c r="K24" s="56">
        <f t="shared" si="29"/>
        <v>9032.5557326748058</v>
      </c>
      <c r="L24" s="56">
        <f t="shared" si="30"/>
        <v>9393.8579619817974</v>
      </c>
      <c r="M24" s="56">
        <f t="shared" si="31"/>
        <v>9769.6122804610695</v>
      </c>
      <c r="N24" s="56">
        <f t="shared" si="32"/>
        <v>10160.396771679512</v>
      </c>
      <c r="O24" s="56">
        <f t="shared" si="33"/>
        <v>10566.812642546693</v>
      </c>
      <c r="P24" s="56">
        <f t="shared" si="34"/>
        <v>10989.485148248561</v>
      </c>
      <c r="Q24" s="56">
        <f t="shared" si="35"/>
        <v>11429.064554178503</v>
      </c>
    </row>
    <row r="25" spans="1:17" s="55" customFormat="1" x14ac:dyDescent="0.2">
      <c r="A25" s="55" t="s">
        <v>180</v>
      </c>
      <c r="C25" s="56">
        <v>5500</v>
      </c>
      <c r="D25" s="56">
        <f t="shared" si="36"/>
        <v>5720</v>
      </c>
      <c r="E25" s="56">
        <f t="shared" si="23"/>
        <v>5948.8</v>
      </c>
      <c r="F25" s="56">
        <f t="shared" si="24"/>
        <v>6186.7520000000004</v>
      </c>
      <c r="G25" s="56">
        <f t="shared" si="25"/>
        <v>6434.2220800000005</v>
      </c>
      <c r="H25" s="56">
        <f t="shared" si="26"/>
        <v>6691.5909632000003</v>
      </c>
      <c r="I25" s="56">
        <f t="shared" si="27"/>
        <v>6959.2546017280001</v>
      </c>
      <c r="J25" s="56">
        <f t="shared" si="28"/>
        <v>7237.6247857971202</v>
      </c>
      <c r="K25" s="56">
        <f t="shared" si="29"/>
        <v>7527.1297772290054</v>
      </c>
      <c r="L25" s="56">
        <f t="shared" si="30"/>
        <v>7828.214968318166</v>
      </c>
      <c r="M25" s="56">
        <f t="shared" si="31"/>
        <v>8141.3435670508925</v>
      </c>
      <c r="N25" s="56">
        <f t="shared" si="32"/>
        <v>8466.9973097329275</v>
      </c>
      <c r="O25" s="56">
        <f t="shared" si="33"/>
        <v>8805.6772021222441</v>
      </c>
      <c r="P25" s="56">
        <f t="shared" si="34"/>
        <v>9157.9042902071342</v>
      </c>
      <c r="Q25" s="56">
        <f t="shared" si="35"/>
        <v>9524.2204618154192</v>
      </c>
    </row>
    <row r="26" spans="1:17" s="55" customFormat="1" x14ac:dyDescent="0.2">
      <c r="A26" s="69" t="s">
        <v>181</v>
      </c>
      <c r="B26" s="89"/>
      <c r="C26" s="56">
        <v>9578</v>
      </c>
      <c r="D26" s="56">
        <f t="shared" si="36"/>
        <v>9961.1200000000008</v>
      </c>
      <c r="E26" s="56">
        <f t="shared" si="23"/>
        <v>10359.5648</v>
      </c>
      <c r="F26" s="56">
        <f t="shared" si="24"/>
        <v>10773.947392</v>
      </c>
      <c r="G26" s="56">
        <f t="shared" si="25"/>
        <v>11204.90528768</v>
      </c>
      <c r="H26" s="56">
        <f t="shared" si="26"/>
        <v>11653.1014991872</v>
      </c>
      <c r="I26" s="56">
        <f t="shared" si="27"/>
        <v>12119.225559154687</v>
      </c>
      <c r="J26" s="56">
        <f t="shared" si="28"/>
        <v>12603.994581520874</v>
      </c>
      <c r="K26" s="56">
        <f t="shared" si="29"/>
        <v>13108.154364781709</v>
      </c>
      <c r="L26" s="56">
        <f t="shared" si="30"/>
        <v>13632.480539372977</v>
      </c>
      <c r="M26" s="56">
        <f t="shared" si="31"/>
        <v>14177.779760947895</v>
      </c>
      <c r="N26" s="56">
        <f t="shared" si="32"/>
        <v>14744.890951385811</v>
      </c>
      <c r="O26" s="56">
        <f t="shared" si="33"/>
        <v>15334.686589441244</v>
      </c>
      <c r="P26" s="56">
        <f t="shared" si="34"/>
        <v>15948.074053018894</v>
      </c>
      <c r="Q26" s="56">
        <f t="shared" si="35"/>
        <v>16585.997015139648</v>
      </c>
    </row>
    <row r="27" spans="1:17" s="55" customFormat="1" x14ac:dyDescent="0.2">
      <c r="A27" s="55" t="s">
        <v>107</v>
      </c>
      <c r="B27" s="103">
        <v>0.1</v>
      </c>
      <c r="C27" s="108" t="e">
        <f>(C16)*$B$27</f>
        <v>#REF!</v>
      </c>
      <c r="D27" s="108" t="e">
        <f t="shared" ref="D27:Q27" si="37">(D16)*$B$27</f>
        <v>#REF!</v>
      </c>
      <c r="E27" s="108" t="e">
        <f t="shared" si="37"/>
        <v>#REF!</v>
      </c>
      <c r="F27" s="108" t="e">
        <f t="shared" si="37"/>
        <v>#REF!</v>
      </c>
      <c r="G27" s="108" t="e">
        <f t="shared" si="37"/>
        <v>#REF!</v>
      </c>
      <c r="H27" s="108" t="e">
        <f t="shared" si="37"/>
        <v>#REF!</v>
      </c>
      <c r="I27" s="108" t="e">
        <f t="shared" si="37"/>
        <v>#REF!</v>
      </c>
      <c r="J27" s="108" t="e">
        <f t="shared" si="37"/>
        <v>#REF!</v>
      </c>
      <c r="K27" s="108" t="e">
        <f t="shared" si="37"/>
        <v>#REF!</v>
      </c>
      <c r="L27" s="108" t="e">
        <f t="shared" si="37"/>
        <v>#REF!</v>
      </c>
      <c r="M27" s="108" t="e">
        <f t="shared" si="37"/>
        <v>#REF!</v>
      </c>
      <c r="N27" s="108" t="e">
        <f t="shared" si="37"/>
        <v>#REF!</v>
      </c>
      <c r="O27" s="108" t="e">
        <f t="shared" si="37"/>
        <v>#REF!</v>
      </c>
      <c r="P27" s="108" t="e">
        <f t="shared" si="37"/>
        <v>#REF!</v>
      </c>
      <c r="Q27" s="108" t="e">
        <f t="shared" si="37"/>
        <v>#REF!</v>
      </c>
    </row>
    <row r="28" spans="1:17" s="55" customFormat="1" ht="15.75" customHeight="1" x14ac:dyDescent="0.2">
      <c r="A28" s="55" t="s">
        <v>182</v>
      </c>
      <c r="C28" s="56">
        <v>15360</v>
      </c>
      <c r="D28" s="56">
        <f>C28*$C$7+C28</f>
        <v>15974.4</v>
      </c>
      <c r="E28" s="56">
        <f t="shared" ref="E28:Q31" si="38">D28*$C$7+D28</f>
        <v>16613.376</v>
      </c>
      <c r="F28" s="56">
        <f t="shared" si="38"/>
        <v>17277.911039999999</v>
      </c>
      <c r="G28" s="56">
        <f t="shared" si="38"/>
        <v>17969.027481599998</v>
      </c>
      <c r="H28" s="56">
        <f t="shared" si="38"/>
        <v>18687.788580863999</v>
      </c>
      <c r="I28" s="56">
        <f t="shared" si="38"/>
        <v>19435.300124098558</v>
      </c>
      <c r="J28" s="56">
        <f t="shared" si="38"/>
        <v>20212.7121290625</v>
      </c>
      <c r="K28" s="56">
        <f t="shared" si="38"/>
        <v>21021.220614225</v>
      </c>
      <c r="L28" s="56">
        <f t="shared" si="38"/>
        <v>21862.069438793998</v>
      </c>
      <c r="M28" s="56">
        <f t="shared" si="38"/>
        <v>22736.552216345757</v>
      </c>
      <c r="N28" s="56">
        <f t="shared" si="38"/>
        <v>23646.014304999586</v>
      </c>
      <c r="O28" s="56">
        <f t="shared" si="38"/>
        <v>24591.85487719957</v>
      </c>
      <c r="P28" s="56">
        <f t="shared" si="38"/>
        <v>25575.529072287554</v>
      </c>
      <c r="Q28" s="56">
        <f t="shared" si="38"/>
        <v>26598.550235179056</v>
      </c>
    </row>
    <row r="29" spans="1:17" s="55" customFormat="1" ht="15.75" customHeight="1" x14ac:dyDescent="0.2">
      <c r="A29" s="55" t="s">
        <v>183</v>
      </c>
      <c r="C29" s="56">
        <v>10000</v>
      </c>
      <c r="D29" s="76">
        <f>C29*$C$7+C29</f>
        <v>10400</v>
      </c>
      <c r="E29" s="76">
        <f t="shared" ref="E29:G31" si="39">D29*$C$7+D29</f>
        <v>10816</v>
      </c>
      <c r="F29" s="76">
        <f t="shared" si="39"/>
        <v>11248.64</v>
      </c>
      <c r="G29" s="76">
        <f t="shared" si="39"/>
        <v>11698.585599999999</v>
      </c>
      <c r="H29" s="76">
        <f t="shared" si="38"/>
        <v>12166.529023999998</v>
      </c>
      <c r="I29" s="76">
        <f t="shared" si="38"/>
        <v>12653.190184959998</v>
      </c>
      <c r="J29" s="76">
        <f t="shared" si="38"/>
        <v>13159.317792358397</v>
      </c>
      <c r="K29" s="76">
        <f t="shared" si="38"/>
        <v>13685.690504052733</v>
      </c>
      <c r="L29" s="76">
        <f t="shared" si="38"/>
        <v>14233.118124214841</v>
      </c>
      <c r="M29" s="76">
        <f t="shared" si="38"/>
        <v>14802.442849183435</v>
      </c>
      <c r="N29" s="76">
        <f t="shared" si="38"/>
        <v>15394.540563150773</v>
      </c>
      <c r="O29" s="76">
        <f t="shared" si="38"/>
        <v>16010.322185676803</v>
      </c>
      <c r="P29" s="76">
        <f t="shared" si="38"/>
        <v>16650.735073103875</v>
      </c>
      <c r="Q29" s="76">
        <f t="shared" si="38"/>
        <v>17316.764476028031</v>
      </c>
    </row>
    <row r="30" spans="1:17" s="55" customFormat="1" x14ac:dyDescent="0.2">
      <c r="A30" s="55" t="s">
        <v>36</v>
      </c>
      <c r="B30" s="89">
        <v>420</v>
      </c>
      <c r="C30" s="56">
        <f>B30*C5</f>
        <v>5040</v>
      </c>
      <c r="D30" s="56">
        <f t="shared" ref="D30" si="40">C30*$C$7+C30</f>
        <v>5241.6000000000004</v>
      </c>
      <c r="E30" s="56">
        <f t="shared" si="39"/>
        <v>5451.2640000000001</v>
      </c>
      <c r="F30" s="56">
        <f t="shared" si="39"/>
        <v>5669.3145599999998</v>
      </c>
      <c r="G30" s="56">
        <f t="shared" si="39"/>
        <v>5896.0871423999997</v>
      </c>
      <c r="H30" s="56">
        <f t="shared" si="38"/>
        <v>6131.930628096</v>
      </c>
      <c r="I30" s="56">
        <f t="shared" si="38"/>
        <v>6377.2078532198402</v>
      </c>
      <c r="J30" s="56">
        <f t="shared" si="38"/>
        <v>6632.2961673486334</v>
      </c>
      <c r="K30" s="56">
        <f t="shared" si="38"/>
        <v>6897.5880140425788</v>
      </c>
      <c r="L30" s="56">
        <f t="shared" si="38"/>
        <v>7173.4915346042817</v>
      </c>
      <c r="M30" s="56">
        <f t="shared" si="38"/>
        <v>7460.4311959884526</v>
      </c>
      <c r="N30" s="56">
        <f t="shared" si="38"/>
        <v>7758.8484438279911</v>
      </c>
      <c r="O30" s="56">
        <f t="shared" si="38"/>
        <v>8069.2023815811108</v>
      </c>
      <c r="P30" s="56">
        <f t="shared" si="38"/>
        <v>8391.9704768443553</v>
      </c>
      <c r="Q30" s="56">
        <f t="shared" si="38"/>
        <v>8727.6492959181287</v>
      </c>
    </row>
    <row r="31" spans="1:17" s="55" customFormat="1" ht="13.5" thickBot="1" x14ac:dyDescent="0.25">
      <c r="A31" s="55" t="s">
        <v>34</v>
      </c>
      <c r="B31" s="89">
        <v>440</v>
      </c>
      <c r="C31" s="56">
        <f>B31*C5</f>
        <v>5280</v>
      </c>
      <c r="D31" s="56">
        <f t="shared" ref="D31" si="41">C31*$C$7+C31</f>
        <v>5491.2</v>
      </c>
      <c r="E31" s="56">
        <f t="shared" si="39"/>
        <v>5710.848</v>
      </c>
      <c r="F31" s="56">
        <f t="shared" si="39"/>
        <v>5939.2819200000004</v>
      </c>
      <c r="G31" s="56">
        <f t="shared" si="39"/>
        <v>6176.8531968000007</v>
      </c>
      <c r="H31" s="56">
        <f t="shared" si="38"/>
        <v>6423.9273246720004</v>
      </c>
      <c r="I31" s="56">
        <f t="shared" si="38"/>
        <v>6680.88441765888</v>
      </c>
      <c r="J31" s="56">
        <f t="shared" si="38"/>
        <v>6948.1197943652351</v>
      </c>
      <c r="K31" s="56">
        <f t="shared" si="38"/>
        <v>7226.0445861398448</v>
      </c>
      <c r="L31" s="56">
        <f t="shared" si="38"/>
        <v>7515.0863695854387</v>
      </c>
      <c r="M31" s="56">
        <f t="shared" si="38"/>
        <v>7815.6898243688565</v>
      </c>
      <c r="N31" s="56">
        <f t="shared" si="38"/>
        <v>8128.3174173436109</v>
      </c>
      <c r="O31" s="56">
        <f t="shared" si="38"/>
        <v>8453.4501140373559</v>
      </c>
      <c r="P31" s="56">
        <f t="shared" si="38"/>
        <v>8791.588118598851</v>
      </c>
      <c r="Q31" s="56">
        <f t="shared" si="38"/>
        <v>9143.2516433428045</v>
      </c>
    </row>
    <row r="32" spans="1:17" s="64" customFormat="1" ht="13.5" thickBot="1" x14ac:dyDescent="0.25">
      <c r="A32" s="64" t="s">
        <v>35</v>
      </c>
      <c r="B32" s="57"/>
      <c r="C32" s="114" t="e">
        <f>SUM(C23:C31)</f>
        <v>#REF!</v>
      </c>
      <c r="D32" s="57" t="e">
        <f t="shared" ref="D32:Q32" si="42">SUM(D23:D31)</f>
        <v>#REF!</v>
      </c>
      <c r="E32" s="57" t="e">
        <f t="shared" si="42"/>
        <v>#REF!</v>
      </c>
      <c r="F32" s="57" t="e">
        <f t="shared" si="42"/>
        <v>#REF!</v>
      </c>
      <c r="G32" s="57" t="e">
        <f t="shared" si="42"/>
        <v>#REF!</v>
      </c>
      <c r="H32" s="57" t="e">
        <f t="shared" si="42"/>
        <v>#REF!</v>
      </c>
      <c r="I32" s="57" t="e">
        <f t="shared" si="42"/>
        <v>#REF!</v>
      </c>
      <c r="J32" s="57" t="e">
        <f t="shared" si="42"/>
        <v>#REF!</v>
      </c>
      <c r="K32" s="57" t="e">
        <f t="shared" si="42"/>
        <v>#REF!</v>
      </c>
      <c r="L32" s="57" t="e">
        <f t="shared" si="42"/>
        <v>#REF!</v>
      </c>
      <c r="M32" s="57" t="e">
        <f t="shared" si="42"/>
        <v>#REF!</v>
      </c>
      <c r="N32" s="57" t="e">
        <f t="shared" si="42"/>
        <v>#REF!</v>
      </c>
      <c r="O32" s="57" t="e">
        <f t="shared" si="42"/>
        <v>#REF!</v>
      </c>
      <c r="P32" s="57" t="e">
        <f t="shared" si="42"/>
        <v>#REF!</v>
      </c>
      <c r="Q32" s="57" t="e">
        <f t="shared" si="42"/>
        <v>#REF!</v>
      </c>
    </row>
    <row r="33" spans="1:17" s="55" customFormat="1" ht="13.5" thickBot="1" x14ac:dyDescent="0.25"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</row>
    <row r="34" spans="1:17" s="91" customFormat="1" ht="13.5" thickBot="1" x14ac:dyDescent="0.25">
      <c r="A34" s="90" t="s">
        <v>72</v>
      </c>
      <c r="C34" s="115" t="e">
        <f>C19-C32</f>
        <v>#REF!</v>
      </c>
      <c r="D34" s="56" t="e">
        <f t="shared" ref="D34:Q34" si="43">D19-D32</f>
        <v>#REF!</v>
      </c>
      <c r="E34" s="56" t="e">
        <f t="shared" si="43"/>
        <v>#REF!</v>
      </c>
      <c r="F34" s="56" t="e">
        <f t="shared" si="43"/>
        <v>#REF!</v>
      </c>
      <c r="G34" s="56" t="e">
        <f t="shared" si="43"/>
        <v>#REF!</v>
      </c>
      <c r="H34" s="56" t="e">
        <f t="shared" si="43"/>
        <v>#REF!</v>
      </c>
      <c r="I34" s="56" t="e">
        <f t="shared" si="43"/>
        <v>#REF!</v>
      </c>
      <c r="J34" s="56" t="e">
        <f t="shared" si="43"/>
        <v>#REF!</v>
      </c>
      <c r="K34" s="56" t="e">
        <f t="shared" si="43"/>
        <v>#REF!</v>
      </c>
      <c r="L34" s="56" t="e">
        <f t="shared" si="43"/>
        <v>#REF!</v>
      </c>
      <c r="M34" s="56" t="e">
        <f t="shared" si="43"/>
        <v>#REF!</v>
      </c>
      <c r="N34" s="56" t="e">
        <f t="shared" si="43"/>
        <v>#REF!</v>
      </c>
      <c r="O34" s="56" t="e">
        <f t="shared" si="43"/>
        <v>#REF!</v>
      </c>
      <c r="P34" s="56" t="e">
        <f t="shared" si="43"/>
        <v>#REF!</v>
      </c>
      <c r="Q34" s="56" t="e">
        <f t="shared" si="43"/>
        <v>#REF!</v>
      </c>
    </row>
    <row r="35" spans="1:17" s="91" customFormat="1" x14ac:dyDescent="0.2">
      <c r="A35" s="92" t="s">
        <v>195</v>
      </c>
      <c r="B35" s="93"/>
      <c r="C35" s="57" t="e">
        <f>C34/C36</f>
        <v>#REF!</v>
      </c>
      <c r="D35" s="57" t="e">
        <f>+C35</f>
        <v>#REF!</v>
      </c>
      <c r="E35" s="57" t="e">
        <f>+D35</f>
        <v>#REF!</v>
      </c>
      <c r="F35" s="57" t="e">
        <f t="shared" ref="F35:K35" si="44">+E35</f>
        <v>#REF!</v>
      </c>
      <c r="G35" s="57" t="e">
        <f t="shared" si="44"/>
        <v>#REF!</v>
      </c>
      <c r="H35" s="57" t="e">
        <f t="shared" si="44"/>
        <v>#REF!</v>
      </c>
      <c r="I35" s="57" t="e">
        <f t="shared" si="44"/>
        <v>#REF!</v>
      </c>
      <c r="J35" s="57" t="e">
        <f t="shared" si="44"/>
        <v>#REF!</v>
      </c>
      <c r="K35" s="57" t="e">
        <f t="shared" si="44"/>
        <v>#REF!</v>
      </c>
      <c r="L35" s="57" t="e">
        <f t="shared" ref="L35:Q35" si="45">+K35</f>
        <v>#REF!</v>
      </c>
      <c r="M35" s="57" t="e">
        <f t="shared" si="45"/>
        <v>#REF!</v>
      </c>
      <c r="N35" s="57" t="e">
        <f t="shared" si="45"/>
        <v>#REF!</v>
      </c>
      <c r="O35" s="57" t="e">
        <f t="shared" si="45"/>
        <v>#REF!</v>
      </c>
      <c r="P35" s="57" t="e">
        <f t="shared" si="45"/>
        <v>#REF!</v>
      </c>
      <c r="Q35" s="57" t="e">
        <f t="shared" si="45"/>
        <v>#REF!</v>
      </c>
    </row>
    <row r="36" spans="1:17" s="117" customFormat="1" x14ac:dyDescent="0.2">
      <c r="A36" s="116" t="s">
        <v>73</v>
      </c>
      <c r="C36" s="118">
        <v>1.1499999999999999</v>
      </c>
      <c r="D36" s="118" t="e">
        <f>D34/D35</f>
        <v>#REF!</v>
      </c>
      <c r="E36" s="118" t="e">
        <f t="shared" ref="E36:Q36" si="46">E34/E35</f>
        <v>#REF!</v>
      </c>
      <c r="F36" s="118" t="e">
        <f t="shared" si="46"/>
        <v>#REF!</v>
      </c>
      <c r="G36" s="118" t="e">
        <f t="shared" si="46"/>
        <v>#REF!</v>
      </c>
      <c r="H36" s="118" t="e">
        <f t="shared" si="46"/>
        <v>#REF!</v>
      </c>
      <c r="I36" s="118" t="e">
        <f t="shared" si="46"/>
        <v>#REF!</v>
      </c>
      <c r="J36" s="118" t="e">
        <f t="shared" si="46"/>
        <v>#REF!</v>
      </c>
      <c r="K36" s="118" t="e">
        <f t="shared" si="46"/>
        <v>#REF!</v>
      </c>
      <c r="L36" s="118" t="e">
        <f t="shared" si="46"/>
        <v>#REF!</v>
      </c>
      <c r="M36" s="118" t="e">
        <f t="shared" si="46"/>
        <v>#REF!</v>
      </c>
      <c r="N36" s="118" t="e">
        <f t="shared" si="46"/>
        <v>#REF!</v>
      </c>
      <c r="O36" s="118" t="e">
        <f t="shared" si="46"/>
        <v>#REF!</v>
      </c>
      <c r="P36" s="118" t="e">
        <f t="shared" si="46"/>
        <v>#REF!</v>
      </c>
      <c r="Q36" s="118" t="e">
        <f t="shared" si="46"/>
        <v>#REF!</v>
      </c>
    </row>
    <row r="37" spans="1:17" s="91" customFormat="1" x14ac:dyDescent="0.2">
      <c r="A37" s="92" t="s">
        <v>74</v>
      </c>
      <c r="B37" s="93"/>
      <c r="C37" s="57" t="e">
        <f>C34-C35</f>
        <v>#REF!</v>
      </c>
      <c r="D37" s="57" t="e">
        <f t="shared" ref="D37:Q37" si="47">D34-D35</f>
        <v>#REF!</v>
      </c>
      <c r="E37" s="57" t="e">
        <f t="shared" si="47"/>
        <v>#REF!</v>
      </c>
      <c r="F37" s="57" t="e">
        <f t="shared" si="47"/>
        <v>#REF!</v>
      </c>
      <c r="G37" s="57" t="e">
        <f t="shared" si="47"/>
        <v>#REF!</v>
      </c>
      <c r="H37" s="57" t="e">
        <f t="shared" si="47"/>
        <v>#REF!</v>
      </c>
      <c r="I37" s="57" t="e">
        <f t="shared" si="47"/>
        <v>#REF!</v>
      </c>
      <c r="J37" s="57" t="e">
        <f t="shared" si="47"/>
        <v>#REF!</v>
      </c>
      <c r="K37" s="57" t="e">
        <f t="shared" si="47"/>
        <v>#REF!</v>
      </c>
      <c r="L37" s="57" t="e">
        <f t="shared" si="47"/>
        <v>#REF!</v>
      </c>
      <c r="M37" s="57" t="e">
        <f t="shared" si="47"/>
        <v>#REF!</v>
      </c>
      <c r="N37" s="57" t="e">
        <f t="shared" si="47"/>
        <v>#REF!</v>
      </c>
      <c r="O37" s="57" t="e">
        <f t="shared" si="47"/>
        <v>#REF!</v>
      </c>
      <c r="P37" s="57" t="e">
        <f t="shared" si="47"/>
        <v>#REF!</v>
      </c>
      <c r="Q37" s="57" t="e">
        <f t="shared" si="47"/>
        <v>#REF!</v>
      </c>
    </row>
    <row r="38" spans="1:17" s="91" customFormat="1" ht="25.5" x14ac:dyDescent="0.2">
      <c r="A38" s="119" t="s">
        <v>198</v>
      </c>
      <c r="B38" s="104">
        <v>0.5</v>
      </c>
      <c r="C38" s="56" t="e">
        <f>$B$38*C37</f>
        <v>#REF!</v>
      </c>
      <c r="D38" s="56" t="e">
        <f t="shared" ref="D38:Q38" si="48">$B$38*D37</f>
        <v>#REF!</v>
      </c>
      <c r="E38" s="56" t="e">
        <f t="shared" si="48"/>
        <v>#REF!</v>
      </c>
      <c r="F38" s="56" t="e">
        <f t="shared" si="48"/>
        <v>#REF!</v>
      </c>
      <c r="G38" s="56" t="e">
        <f t="shared" si="48"/>
        <v>#REF!</v>
      </c>
      <c r="H38" s="56" t="e">
        <f t="shared" si="48"/>
        <v>#REF!</v>
      </c>
      <c r="I38" s="56" t="e">
        <f t="shared" si="48"/>
        <v>#REF!</v>
      </c>
      <c r="J38" s="56" t="e">
        <f t="shared" si="48"/>
        <v>#REF!</v>
      </c>
      <c r="K38" s="56" t="e">
        <f t="shared" si="48"/>
        <v>#REF!</v>
      </c>
      <c r="L38" s="56" t="e">
        <f t="shared" si="48"/>
        <v>#REF!</v>
      </c>
      <c r="M38" s="56" t="e">
        <f t="shared" si="48"/>
        <v>#REF!</v>
      </c>
      <c r="N38" s="56" t="e">
        <f t="shared" si="48"/>
        <v>#REF!</v>
      </c>
      <c r="O38" s="56" t="e">
        <f t="shared" si="48"/>
        <v>#REF!</v>
      </c>
      <c r="P38" s="56" t="e">
        <f t="shared" si="48"/>
        <v>#REF!</v>
      </c>
      <c r="Q38" s="56" t="e">
        <f t="shared" si="48"/>
        <v>#REF!</v>
      </c>
    </row>
    <row r="39" spans="1:17" s="91" customFormat="1" ht="25.5" x14ac:dyDescent="0.2">
      <c r="A39" s="112" t="s">
        <v>196</v>
      </c>
      <c r="B39" s="93"/>
      <c r="C39" s="57" t="e">
        <f>C37-C38</f>
        <v>#REF!</v>
      </c>
      <c r="D39" s="57" t="e">
        <f t="shared" ref="D39:Q39" si="49">D37-D38</f>
        <v>#REF!</v>
      </c>
      <c r="E39" s="57" t="e">
        <f t="shared" si="49"/>
        <v>#REF!</v>
      </c>
      <c r="F39" s="57" t="e">
        <f t="shared" si="49"/>
        <v>#REF!</v>
      </c>
      <c r="G39" s="57" t="e">
        <f t="shared" si="49"/>
        <v>#REF!</v>
      </c>
      <c r="H39" s="57" t="e">
        <f t="shared" si="49"/>
        <v>#REF!</v>
      </c>
      <c r="I39" s="57" t="e">
        <f t="shared" si="49"/>
        <v>#REF!</v>
      </c>
      <c r="J39" s="57" t="e">
        <f t="shared" si="49"/>
        <v>#REF!</v>
      </c>
      <c r="K39" s="57" t="e">
        <f t="shared" si="49"/>
        <v>#REF!</v>
      </c>
      <c r="L39" s="57" t="e">
        <f t="shared" si="49"/>
        <v>#REF!</v>
      </c>
      <c r="M39" s="57" t="e">
        <f t="shared" si="49"/>
        <v>#REF!</v>
      </c>
      <c r="N39" s="57" t="e">
        <f t="shared" si="49"/>
        <v>#REF!</v>
      </c>
      <c r="O39" s="57" t="e">
        <f t="shared" si="49"/>
        <v>#REF!</v>
      </c>
      <c r="P39" s="57" t="e">
        <f t="shared" si="49"/>
        <v>#REF!</v>
      </c>
      <c r="Q39" s="57" t="e">
        <f t="shared" si="49"/>
        <v>#REF!</v>
      </c>
    </row>
    <row r="40" spans="1:17" s="55" customFormat="1" x14ac:dyDescent="0.2"/>
    <row r="41" spans="1:17" s="91" customFormat="1" x14ac:dyDescent="0.2">
      <c r="A41" s="94"/>
      <c r="B41" s="90"/>
      <c r="C41" s="94" t="s">
        <v>75</v>
      </c>
      <c r="D41" s="95" t="s">
        <v>76</v>
      </c>
      <c r="E41" s="95"/>
      <c r="F41" s="95"/>
      <c r="G41" s="95"/>
    </row>
    <row r="42" spans="1:17" s="55" customFormat="1" x14ac:dyDescent="0.2">
      <c r="A42" s="55" t="s">
        <v>92</v>
      </c>
      <c r="C42" s="103">
        <v>6.3E-2</v>
      </c>
      <c r="D42" s="71">
        <f>C42/12</f>
        <v>5.2500000000000003E-3</v>
      </c>
    </row>
    <row r="43" spans="1:17" s="55" customFormat="1" x14ac:dyDescent="0.2">
      <c r="A43" s="55" t="s">
        <v>93</v>
      </c>
      <c r="C43" s="55">
        <v>15</v>
      </c>
      <c r="D43" s="55">
        <f>C43*12</f>
        <v>180</v>
      </c>
    </row>
    <row r="44" spans="1:17" s="55" customFormat="1" x14ac:dyDescent="0.2">
      <c r="A44" s="55" t="s">
        <v>68</v>
      </c>
      <c r="C44" s="72" t="e">
        <f>+C35</f>
        <v>#REF!</v>
      </c>
      <c r="D44" s="73" t="e">
        <f>C44/12</f>
        <v>#REF!</v>
      </c>
    </row>
    <row r="45" spans="1:17" s="55" customFormat="1" hidden="1" x14ac:dyDescent="0.2"/>
    <row r="46" spans="1:17" s="55" customFormat="1" hidden="1" x14ac:dyDescent="0.2">
      <c r="B46" s="55">
        <v>1</v>
      </c>
      <c r="C46" s="55" t="s">
        <v>192</v>
      </c>
      <c r="D46" s="74" t="e">
        <f>-PV(D42,D43,D44)</f>
        <v>#REF!</v>
      </c>
      <c r="E46" s="75"/>
    </row>
    <row r="47" spans="1:17" s="55" customFormat="1" hidden="1" x14ac:dyDescent="0.2">
      <c r="D47" s="56"/>
    </row>
    <row r="48" spans="1:17" s="55" customFormat="1" hidden="1" x14ac:dyDescent="0.2">
      <c r="D48" s="56"/>
    </row>
    <row r="49" spans="3:6" s="55" customFormat="1" ht="24" customHeight="1" thickBot="1" x14ac:dyDescent="0.25">
      <c r="C49" s="113"/>
      <c r="D49" s="106"/>
    </row>
    <row r="50" spans="3:6" s="55" customFormat="1" ht="13.5" thickBot="1" x14ac:dyDescent="0.25">
      <c r="C50" s="120" t="s">
        <v>192</v>
      </c>
      <c r="D50" s="124" t="e">
        <f>-PV(C42,C43,C35)</f>
        <v>#REF!</v>
      </c>
      <c r="E50" s="121" t="s">
        <v>200</v>
      </c>
    </row>
    <row r="51" spans="3:6" s="55" customFormat="1" x14ac:dyDescent="0.2">
      <c r="C51" s="121" t="s">
        <v>199</v>
      </c>
      <c r="D51" s="122" t="e">
        <f>E51*'Development Budget'!#REF!</f>
        <v>#REF!</v>
      </c>
      <c r="E51" s="123">
        <v>7.0670534235083404E-2</v>
      </c>
      <c r="F51" s="55" t="s">
        <v>201</v>
      </c>
    </row>
    <row r="52" spans="3:6" s="55" customFormat="1" x14ac:dyDescent="0.2"/>
    <row r="53" spans="3:6" s="55" customFormat="1" x14ac:dyDescent="0.2"/>
    <row r="54" spans="3:6" s="55" customFormat="1" x14ac:dyDescent="0.2"/>
    <row r="55" spans="3:6" s="55" customFormat="1" x14ac:dyDescent="0.2"/>
    <row r="56" spans="3:6" s="55" customFormat="1" x14ac:dyDescent="0.2"/>
    <row r="57" spans="3:6" s="55" customFormat="1" x14ac:dyDescent="0.2"/>
    <row r="58" spans="3:6" s="55" customFormat="1" x14ac:dyDescent="0.2"/>
    <row r="59" spans="3:6" s="55" customFormat="1" x14ac:dyDescent="0.2"/>
    <row r="60" spans="3:6" s="55" customFormat="1" x14ac:dyDescent="0.2"/>
  </sheetData>
  <dataConsolidate/>
  <phoneticPr fontId="3" type="noConversion"/>
  <pageMargins left="0.34" right="0.75" top="1" bottom="1" header="0.5" footer="0.5"/>
  <pageSetup scale="65" orientation="landscape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D161"/>
  <sheetViews>
    <sheetView topLeftCell="A37" workbookViewId="0">
      <selection activeCell="D66" sqref="D66"/>
    </sheetView>
  </sheetViews>
  <sheetFormatPr defaultRowHeight="12.75" x14ac:dyDescent="0.2"/>
  <cols>
    <col min="1" max="1" width="34.5703125" customWidth="1"/>
    <col min="2" max="2" width="11.28515625" bestFit="1" customWidth="1"/>
    <col min="3" max="3" width="10.28515625" bestFit="1" customWidth="1"/>
    <col min="4" max="4" width="26.42578125" bestFit="1" customWidth="1"/>
  </cols>
  <sheetData>
    <row r="1" spans="1:4" x14ac:dyDescent="0.2">
      <c r="A1" s="1" t="s">
        <v>161</v>
      </c>
    </row>
    <row r="2" spans="1:4" x14ac:dyDescent="0.2">
      <c r="A2" t="s">
        <v>114</v>
      </c>
      <c r="B2">
        <v>28</v>
      </c>
    </row>
    <row r="6" spans="1:4" s="1" customFormat="1" x14ac:dyDescent="0.2">
      <c r="A6" s="80"/>
      <c r="B6" s="80" t="s">
        <v>115</v>
      </c>
      <c r="C6" s="84" t="s">
        <v>17</v>
      </c>
      <c r="D6" s="80" t="s">
        <v>116</v>
      </c>
    </row>
    <row r="7" spans="1:4" s="1" customFormat="1" x14ac:dyDescent="0.2">
      <c r="A7" s="79" t="s">
        <v>109</v>
      </c>
      <c r="B7" s="79"/>
      <c r="C7" s="85"/>
      <c r="D7" s="79"/>
    </row>
    <row r="8" spans="1:4" x14ac:dyDescent="0.2">
      <c r="A8" t="s">
        <v>110</v>
      </c>
      <c r="B8" s="78">
        <v>475</v>
      </c>
      <c r="C8" s="86">
        <f>B8/$B$2</f>
        <v>16.964285714285715</v>
      </c>
      <c r="D8" s="81">
        <f>C8*12</f>
        <v>203.57142857142858</v>
      </c>
    </row>
    <row r="9" spans="1:4" x14ac:dyDescent="0.2">
      <c r="A9" t="s">
        <v>111</v>
      </c>
      <c r="B9" s="78">
        <v>216</v>
      </c>
      <c r="C9" s="86">
        <f>B9/$B$2</f>
        <v>7.7142857142857144</v>
      </c>
      <c r="D9" s="81">
        <f>C9*12</f>
        <v>92.571428571428569</v>
      </c>
    </row>
    <row r="10" spans="1:4" x14ac:dyDescent="0.2">
      <c r="A10" t="s">
        <v>112</v>
      </c>
      <c r="B10" s="78">
        <v>504</v>
      </c>
      <c r="C10" s="86">
        <f>B10/$B$2</f>
        <v>18</v>
      </c>
      <c r="D10" s="81">
        <f>C10*12</f>
        <v>216</v>
      </c>
    </row>
    <row r="11" spans="1:4" s="1" customFormat="1" x14ac:dyDescent="0.2">
      <c r="A11" s="1" t="s">
        <v>113</v>
      </c>
      <c r="B11" s="70">
        <f>SUM(B8:B10)</f>
        <v>1195</v>
      </c>
      <c r="C11" s="87">
        <f>B11/$B$2</f>
        <v>42.678571428571431</v>
      </c>
      <c r="D11" s="82">
        <f>C11*12</f>
        <v>512.14285714285711</v>
      </c>
    </row>
    <row r="12" spans="1:4" x14ac:dyDescent="0.2">
      <c r="B12" s="78"/>
      <c r="C12" s="86"/>
      <c r="D12" s="83"/>
    </row>
    <row r="13" spans="1:4" x14ac:dyDescent="0.2">
      <c r="A13" s="1" t="s">
        <v>117</v>
      </c>
      <c r="B13" s="78"/>
      <c r="C13" s="86"/>
      <c r="D13" s="83"/>
    </row>
    <row r="14" spans="1:4" x14ac:dyDescent="0.2">
      <c r="A14" s="52" t="s">
        <v>118</v>
      </c>
      <c r="B14" s="77">
        <v>119</v>
      </c>
      <c r="C14" s="86">
        <f t="shared" ref="C14:C27" si="0">B14/$B$2</f>
        <v>4.25</v>
      </c>
      <c r="D14" s="81">
        <f>C14*12</f>
        <v>51</v>
      </c>
    </row>
    <row r="15" spans="1:4" x14ac:dyDescent="0.2">
      <c r="A15" s="52" t="s">
        <v>119</v>
      </c>
      <c r="B15" s="77">
        <v>80</v>
      </c>
      <c r="C15" s="86">
        <f t="shared" si="0"/>
        <v>2.8571428571428572</v>
      </c>
      <c r="D15" s="81">
        <f t="shared" ref="D15:D26" si="1">C15*12</f>
        <v>34.285714285714285</v>
      </c>
    </row>
    <row r="16" spans="1:4" x14ac:dyDescent="0.2">
      <c r="A16" s="52" t="s">
        <v>120</v>
      </c>
      <c r="B16" s="77">
        <v>504</v>
      </c>
      <c r="C16" s="86">
        <f t="shared" si="0"/>
        <v>18</v>
      </c>
      <c r="D16" s="81">
        <f t="shared" si="1"/>
        <v>216</v>
      </c>
    </row>
    <row r="17" spans="1:4" x14ac:dyDescent="0.2">
      <c r="A17" s="52" t="s">
        <v>121</v>
      </c>
      <c r="B17" s="77">
        <v>96</v>
      </c>
      <c r="C17" s="86">
        <f t="shared" si="0"/>
        <v>3.4285714285714284</v>
      </c>
      <c r="D17" s="81">
        <f t="shared" si="1"/>
        <v>41.142857142857139</v>
      </c>
    </row>
    <row r="18" spans="1:4" x14ac:dyDescent="0.2">
      <c r="A18" s="52" t="s">
        <v>122</v>
      </c>
      <c r="B18" s="77">
        <v>1452</v>
      </c>
      <c r="C18" s="86">
        <f t="shared" si="0"/>
        <v>51.857142857142854</v>
      </c>
      <c r="D18" s="81">
        <f t="shared" si="1"/>
        <v>622.28571428571422</v>
      </c>
    </row>
    <row r="19" spans="1:4" x14ac:dyDescent="0.2">
      <c r="A19" s="52" t="s">
        <v>123</v>
      </c>
      <c r="B19" s="77">
        <v>1608</v>
      </c>
      <c r="C19" s="86">
        <f t="shared" si="0"/>
        <v>57.428571428571431</v>
      </c>
      <c r="D19" s="81">
        <f t="shared" si="1"/>
        <v>689.14285714285711</v>
      </c>
    </row>
    <row r="20" spans="1:4" x14ac:dyDescent="0.2">
      <c r="A20" s="52" t="s">
        <v>124</v>
      </c>
      <c r="B20" s="77">
        <v>1008</v>
      </c>
      <c r="C20" s="86">
        <f t="shared" si="0"/>
        <v>36</v>
      </c>
      <c r="D20" s="81">
        <f t="shared" si="1"/>
        <v>432</v>
      </c>
    </row>
    <row r="21" spans="1:4" x14ac:dyDescent="0.2">
      <c r="A21" s="52" t="s">
        <v>125</v>
      </c>
      <c r="B21" s="77">
        <v>312</v>
      </c>
      <c r="C21" s="86">
        <f t="shared" si="0"/>
        <v>11.142857142857142</v>
      </c>
      <c r="D21" s="81">
        <f t="shared" si="1"/>
        <v>133.71428571428572</v>
      </c>
    </row>
    <row r="22" spans="1:4" x14ac:dyDescent="0.2">
      <c r="A22" s="52" t="s">
        <v>126</v>
      </c>
      <c r="B22" s="77">
        <v>1164</v>
      </c>
      <c r="C22" s="86">
        <f t="shared" si="0"/>
        <v>41.571428571428569</v>
      </c>
      <c r="D22" s="81">
        <f t="shared" si="1"/>
        <v>498.85714285714283</v>
      </c>
    </row>
    <row r="23" spans="1:4" x14ac:dyDescent="0.2">
      <c r="A23" s="52" t="s">
        <v>127</v>
      </c>
      <c r="B23" s="77">
        <v>30</v>
      </c>
      <c r="C23" s="86">
        <f t="shared" si="0"/>
        <v>1.0714285714285714</v>
      </c>
      <c r="D23" s="81">
        <f t="shared" si="1"/>
        <v>12.857142857142858</v>
      </c>
    </row>
    <row r="24" spans="1:4" x14ac:dyDescent="0.2">
      <c r="A24" s="52" t="s">
        <v>128</v>
      </c>
      <c r="B24" s="77">
        <v>840</v>
      </c>
      <c r="C24" s="86">
        <f t="shared" si="0"/>
        <v>30</v>
      </c>
      <c r="D24" s="81">
        <f t="shared" si="1"/>
        <v>360</v>
      </c>
    </row>
    <row r="25" spans="1:4" x14ac:dyDescent="0.2">
      <c r="A25" s="52" t="s">
        <v>129</v>
      </c>
      <c r="B25" s="77">
        <v>2040</v>
      </c>
      <c r="C25" s="86">
        <f t="shared" si="0"/>
        <v>72.857142857142861</v>
      </c>
      <c r="D25" s="81">
        <f t="shared" si="1"/>
        <v>874.28571428571433</v>
      </c>
    </row>
    <row r="26" spans="1:4" x14ac:dyDescent="0.2">
      <c r="A26" s="52" t="s">
        <v>130</v>
      </c>
      <c r="B26" s="77">
        <v>1656</v>
      </c>
      <c r="C26" s="86">
        <f t="shared" si="0"/>
        <v>59.142857142857146</v>
      </c>
      <c r="D26" s="81">
        <f t="shared" si="1"/>
        <v>709.71428571428578</v>
      </c>
    </row>
    <row r="27" spans="1:4" s="1" customFormat="1" x14ac:dyDescent="0.2">
      <c r="A27" s="1" t="s">
        <v>131</v>
      </c>
      <c r="B27" s="88">
        <f>SUM(B14:B26)</f>
        <v>10909</v>
      </c>
      <c r="C27" s="87">
        <f t="shared" si="0"/>
        <v>389.60714285714283</v>
      </c>
      <c r="D27" s="82">
        <f>C27*12</f>
        <v>4675.2857142857138</v>
      </c>
    </row>
    <row r="28" spans="1:4" x14ac:dyDescent="0.2">
      <c r="A28" s="1"/>
      <c r="B28" s="78"/>
      <c r="C28" s="86"/>
      <c r="D28" s="83"/>
    </row>
    <row r="29" spans="1:4" x14ac:dyDescent="0.2">
      <c r="A29" s="1" t="s">
        <v>132</v>
      </c>
      <c r="B29" s="78"/>
      <c r="C29" s="86"/>
      <c r="D29" s="83"/>
    </row>
    <row r="30" spans="1:4" x14ac:dyDescent="0.2">
      <c r="A30" s="52" t="s">
        <v>133</v>
      </c>
      <c r="B30" s="78">
        <v>9266</v>
      </c>
      <c r="C30" s="86">
        <f t="shared" ref="C30:C39" si="2">B30/$B$2</f>
        <v>330.92857142857144</v>
      </c>
      <c r="D30" s="81">
        <f>C30*12</f>
        <v>3971.1428571428573</v>
      </c>
    </row>
    <row r="31" spans="1:4" x14ac:dyDescent="0.2">
      <c r="A31" s="52" t="s">
        <v>134</v>
      </c>
      <c r="B31" s="78">
        <v>23224</v>
      </c>
      <c r="C31" s="86">
        <f t="shared" si="2"/>
        <v>829.42857142857144</v>
      </c>
      <c r="D31" s="81">
        <f t="shared" ref="D31:D39" si="3">C31*12</f>
        <v>9953.1428571428569</v>
      </c>
    </row>
    <row r="32" spans="1:4" x14ac:dyDescent="0.2">
      <c r="A32" s="52" t="s">
        <v>135</v>
      </c>
      <c r="B32" s="78">
        <v>480</v>
      </c>
      <c r="C32" s="86">
        <f t="shared" si="2"/>
        <v>17.142857142857142</v>
      </c>
      <c r="D32" s="81">
        <f t="shared" si="3"/>
        <v>205.71428571428572</v>
      </c>
    </row>
    <row r="33" spans="1:4" x14ac:dyDescent="0.2">
      <c r="A33" s="52" t="s">
        <v>136</v>
      </c>
      <c r="B33" s="78">
        <v>3624</v>
      </c>
      <c r="C33" s="86">
        <f t="shared" si="2"/>
        <v>129.42857142857142</v>
      </c>
      <c r="D33" s="81">
        <f t="shared" si="3"/>
        <v>1553.1428571428569</v>
      </c>
    </row>
    <row r="34" spans="1:4" x14ac:dyDescent="0.2">
      <c r="A34" s="52" t="s">
        <v>137</v>
      </c>
      <c r="B34" s="78">
        <v>972</v>
      </c>
      <c r="C34" s="86">
        <f t="shared" si="2"/>
        <v>34.714285714285715</v>
      </c>
      <c r="D34" s="81">
        <f t="shared" si="3"/>
        <v>416.57142857142856</v>
      </c>
    </row>
    <row r="35" spans="1:4" x14ac:dyDescent="0.2">
      <c r="A35" s="52" t="s">
        <v>138</v>
      </c>
      <c r="B35" s="78">
        <v>717</v>
      </c>
      <c r="C35" s="86">
        <f t="shared" si="2"/>
        <v>25.607142857142858</v>
      </c>
      <c r="D35" s="81">
        <f t="shared" si="3"/>
        <v>307.28571428571428</v>
      </c>
    </row>
    <row r="36" spans="1:4" x14ac:dyDescent="0.2">
      <c r="A36" s="52" t="s">
        <v>139</v>
      </c>
      <c r="B36" s="78">
        <v>300</v>
      </c>
      <c r="C36" s="86">
        <f t="shared" si="2"/>
        <v>10.714285714285714</v>
      </c>
      <c r="D36" s="81">
        <f t="shared" si="3"/>
        <v>128.57142857142856</v>
      </c>
    </row>
    <row r="37" spans="1:4" x14ac:dyDescent="0.2">
      <c r="A37" s="52" t="s">
        <v>140</v>
      </c>
      <c r="B37" s="78">
        <v>5796</v>
      </c>
      <c r="C37" s="86">
        <f t="shared" si="2"/>
        <v>207</v>
      </c>
      <c r="D37" s="81">
        <f t="shared" si="3"/>
        <v>2484</v>
      </c>
    </row>
    <row r="38" spans="1:4" ht="13.5" customHeight="1" x14ac:dyDescent="0.2">
      <c r="A38" s="52" t="s">
        <v>141</v>
      </c>
      <c r="B38" s="78">
        <v>288</v>
      </c>
      <c r="C38" s="86">
        <f t="shared" si="2"/>
        <v>10.285714285714286</v>
      </c>
      <c r="D38" s="81">
        <f t="shared" si="3"/>
        <v>123.42857142857144</v>
      </c>
    </row>
    <row r="39" spans="1:4" s="1" customFormat="1" x14ac:dyDescent="0.2">
      <c r="A39" s="1" t="s">
        <v>19</v>
      </c>
      <c r="B39" s="70">
        <f>SUM(B30:B38)</f>
        <v>44667</v>
      </c>
      <c r="C39" s="87">
        <f t="shared" si="2"/>
        <v>1595.25</v>
      </c>
      <c r="D39" s="81">
        <f t="shared" si="3"/>
        <v>19143</v>
      </c>
    </row>
    <row r="40" spans="1:4" x14ac:dyDescent="0.2">
      <c r="B40" s="78"/>
      <c r="C40" s="86"/>
      <c r="D40" s="83"/>
    </row>
    <row r="41" spans="1:4" x14ac:dyDescent="0.2">
      <c r="B41" s="78"/>
      <c r="C41" s="86"/>
      <c r="D41" s="83"/>
    </row>
    <row r="42" spans="1:4" s="1" customFormat="1" x14ac:dyDescent="0.2">
      <c r="A42" s="1" t="s">
        <v>81</v>
      </c>
      <c r="B42" s="70"/>
      <c r="C42" s="87"/>
      <c r="D42" s="79"/>
    </row>
    <row r="43" spans="1:4" x14ac:dyDescent="0.2">
      <c r="A43" s="52" t="s">
        <v>142</v>
      </c>
      <c r="B43" s="78">
        <v>11185</v>
      </c>
      <c r="C43" s="86">
        <f>B43/$B$2</f>
        <v>399.46428571428572</v>
      </c>
      <c r="D43" s="81">
        <f>C43*12</f>
        <v>4793.5714285714284</v>
      </c>
    </row>
    <row r="44" spans="1:4" x14ac:dyDescent="0.2">
      <c r="A44" s="52" t="s">
        <v>143</v>
      </c>
      <c r="B44" s="78">
        <v>14702</v>
      </c>
      <c r="C44" s="86">
        <f>B44/$B$2</f>
        <v>525.07142857142856</v>
      </c>
      <c r="D44" s="81">
        <f>C44*12</f>
        <v>6300.8571428571431</v>
      </c>
    </row>
    <row r="45" spans="1:4" x14ac:dyDescent="0.2">
      <c r="A45" s="52" t="s">
        <v>144</v>
      </c>
      <c r="B45" s="78">
        <v>22229</v>
      </c>
      <c r="C45" s="86">
        <f>B45/$B$2</f>
        <v>793.89285714285711</v>
      </c>
      <c r="D45" s="81">
        <f>C45*12</f>
        <v>9526.7142857142862</v>
      </c>
    </row>
    <row r="46" spans="1:4" s="1" customFormat="1" x14ac:dyDescent="0.2">
      <c r="A46" s="1" t="s">
        <v>145</v>
      </c>
      <c r="B46" s="70">
        <f>SUM(B43:B45)</f>
        <v>48116</v>
      </c>
      <c r="C46" s="87">
        <f>B46/$B$2</f>
        <v>1718.4285714285713</v>
      </c>
      <c r="D46" s="82">
        <f>C46*12</f>
        <v>20621.142857142855</v>
      </c>
    </row>
    <row r="47" spans="1:4" x14ac:dyDescent="0.2">
      <c r="B47" s="78"/>
      <c r="C47" s="86"/>
      <c r="D47" s="83"/>
    </row>
    <row r="48" spans="1:4" x14ac:dyDescent="0.2">
      <c r="A48" s="1" t="s">
        <v>146</v>
      </c>
      <c r="B48" s="78"/>
      <c r="C48" s="86"/>
      <c r="D48" s="83"/>
    </row>
    <row r="49" spans="1:4" x14ac:dyDescent="0.2">
      <c r="A49" s="52" t="s">
        <v>147</v>
      </c>
      <c r="B49" s="78">
        <v>1248</v>
      </c>
      <c r="C49" s="86">
        <f t="shared" ref="C49:C66" si="4">B49/$B$2</f>
        <v>44.571428571428569</v>
      </c>
      <c r="D49" s="81">
        <f>C49*12</f>
        <v>534.85714285714289</v>
      </c>
    </row>
    <row r="50" spans="1:4" x14ac:dyDescent="0.2">
      <c r="A50" s="52" t="s">
        <v>148</v>
      </c>
      <c r="B50" s="78">
        <v>456</v>
      </c>
      <c r="C50" s="86">
        <f t="shared" si="4"/>
        <v>16.285714285714285</v>
      </c>
      <c r="D50" s="81">
        <f t="shared" ref="D50:D65" si="5">C50*12</f>
        <v>195.42857142857142</v>
      </c>
    </row>
    <row r="51" spans="1:4" x14ac:dyDescent="0.2">
      <c r="A51" s="52" t="s">
        <v>149</v>
      </c>
      <c r="B51" s="78">
        <v>900</v>
      </c>
      <c r="C51" s="86">
        <f t="shared" si="4"/>
        <v>32.142857142857146</v>
      </c>
      <c r="D51" s="81">
        <f t="shared" si="5"/>
        <v>385.71428571428578</v>
      </c>
    </row>
    <row r="52" spans="1:4" x14ac:dyDescent="0.2">
      <c r="A52" s="52" t="s">
        <v>150</v>
      </c>
      <c r="B52" s="78">
        <v>1200</v>
      </c>
      <c r="C52" s="86">
        <f t="shared" si="4"/>
        <v>42.857142857142854</v>
      </c>
      <c r="D52" s="81">
        <f t="shared" si="5"/>
        <v>514.28571428571422</v>
      </c>
    </row>
    <row r="53" spans="1:4" x14ac:dyDescent="0.2">
      <c r="A53" s="52" t="s">
        <v>151</v>
      </c>
      <c r="B53" s="78">
        <v>1140</v>
      </c>
      <c r="C53" s="86">
        <f t="shared" si="4"/>
        <v>40.714285714285715</v>
      </c>
      <c r="D53" s="81">
        <f t="shared" si="5"/>
        <v>488.57142857142856</v>
      </c>
    </row>
    <row r="54" spans="1:4" x14ac:dyDescent="0.2">
      <c r="A54" s="52" t="s">
        <v>152</v>
      </c>
      <c r="B54" s="78">
        <v>1812</v>
      </c>
      <c r="C54" s="86">
        <f t="shared" si="4"/>
        <v>64.714285714285708</v>
      </c>
      <c r="D54" s="81">
        <f t="shared" si="5"/>
        <v>776.57142857142844</v>
      </c>
    </row>
    <row r="55" spans="1:4" x14ac:dyDescent="0.2">
      <c r="A55" s="52" t="s">
        <v>153</v>
      </c>
      <c r="B55" s="78">
        <v>6639</v>
      </c>
      <c r="C55" s="86">
        <f t="shared" si="4"/>
        <v>237.10714285714286</v>
      </c>
      <c r="D55" s="82">
        <f>(C55*12)*0.25</f>
        <v>711.32142857142856</v>
      </c>
    </row>
    <row r="56" spans="1:4" x14ac:dyDescent="0.2">
      <c r="A56" s="52" t="s">
        <v>165</v>
      </c>
      <c r="B56" s="78">
        <v>216</v>
      </c>
      <c r="C56" s="86">
        <f t="shared" si="4"/>
        <v>7.7142857142857144</v>
      </c>
      <c r="D56" s="81">
        <f t="shared" si="5"/>
        <v>92.571428571428569</v>
      </c>
    </row>
    <row r="57" spans="1:4" x14ac:dyDescent="0.2">
      <c r="A57" s="52" t="s">
        <v>154</v>
      </c>
      <c r="B57" s="78">
        <v>360</v>
      </c>
      <c r="C57" s="86">
        <f t="shared" si="4"/>
        <v>12.857142857142858</v>
      </c>
      <c r="D57" s="81">
        <f t="shared" si="5"/>
        <v>154.28571428571428</v>
      </c>
    </row>
    <row r="58" spans="1:4" x14ac:dyDescent="0.2">
      <c r="A58" s="52" t="s">
        <v>155</v>
      </c>
      <c r="B58" s="78">
        <v>2296</v>
      </c>
      <c r="C58" s="86">
        <f t="shared" si="4"/>
        <v>82</v>
      </c>
      <c r="D58" s="81">
        <f t="shared" si="5"/>
        <v>984</v>
      </c>
    </row>
    <row r="59" spans="1:4" x14ac:dyDescent="0.2">
      <c r="A59" s="52" t="s">
        <v>156</v>
      </c>
      <c r="B59" s="78">
        <v>900</v>
      </c>
      <c r="C59" s="86">
        <f t="shared" si="4"/>
        <v>32.142857142857146</v>
      </c>
      <c r="D59" s="81">
        <f t="shared" si="5"/>
        <v>385.71428571428578</v>
      </c>
    </row>
    <row r="60" spans="1:4" x14ac:dyDescent="0.2">
      <c r="A60" s="52" t="s">
        <v>157</v>
      </c>
      <c r="B60" s="78">
        <v>900</v>
      </c>
      <c r="C60" s="86">
        <f t="shared" si="4"/>
        <v>32.142857142857146</v>
      </c>
      <c r="D60" s="81">
        <f t="shared" si="5"/>
        <v>385.71428571428578</v>
      </c>
    </row>
    <row r="61" spans="1:4" x14ac:dyDescent="0.2">
      <c r="A61" s="52" t="s">
        <v>162</v>
      </c>
      <c r="B61" s="78">
        <v>6176</v>
      </c>
      <c r="C61" s="86">
        <f t="shared" si="4"/>
        <v>220.57142857142858</v>
      </c>
      <c r="D61" s="81">
        <f t="shared" si="5"/>
        <v>2646.8571428571431</v>
      </c>
    </row>
    <row r="62" spans="1:4" x14ac:dyDescent="0.2">
      <c r="A62" s="52" t="s">
        <v>158</v>
      </c>
      <c r="B62" s="78">
        <v>15468</v>
      </c>
      <c r="C62" s="86">
        <f t="shared" si="4"/>
        <v>552.42857142857144</v>
      </c>
      <c r="D62" s="82">
        <f>(C62*12)*0.25</f>
        <v>1657.2857142857142</v>
      </c>
    </row>
    <row r="63" spans="1:4" x14ac:dyDescent="0.2">
      <c r="A63" s="52" t="s">
        <v>159</v>
      </c>
      <c r="B63" s="78">
        <v>1500</v>
      </c>
      <c r="C63" s="86">
        <f t="shared" si="4"/>
        <v>53.571428571428569</v>
      </c>
      <c r="D63" s="81">
        <f t="shared" si="5"/>
        <v>642.85714285714289</v>
      </c>
    </row>
    <row r="64" spans="1:4" x14ac:dyDescent="0.2">
      <c r="A64" s="52" t="s">
        <v>163</v>
      </c>
      <c r="B64" s="78">
        <f>1500+602</f>
        <v>2102</v>
      </c>
      <c r="C64" s="86">
        <f t="shared" si="4"/>
        <v>75.071428571428569</v>
      </c>
      <c r="D64" s="81">
        <f t="shared" si="5"/>
        <v>900.85714285714289</v>
      </c>
    </row>
    <row r="65" spans="1:4" x14ac:dyDescent="0.2">
      <c r="A65" s="52" t="s">
        <v>164</v>
      </c>
      <c r="B65" s="78">
        <v>550</v>
      </c>
      <c r="C65" s="86">
        <f t="shared" si="4"/>
        <v>19.642857142857142</v>
      </c>
      <c r="D65" s="81">
        <f t="shared" si="5"/>
        <v>235.71428571428572</v>
      </c>
    </row>
    <row r="66" spans="1:4" s="1" customFormat="1" x14ac:dyDescent="0.2">
      <c r="A66" s="1" t="s">
        <v>160</v>
      </c>
      <c r="B66" s="70">
        <f>SUM(B49:B65)</f>
        <v>43863</v>
      </c>
      <c r="C66" s="87">
        <f t="shared" si="4"/>
        <v>1566.5357142857142</v>
      </c>
      <c r="D66" s="82">
        <f>SUM(D49:D65)</f>
        <v>11692.607142857143</v>
      </c>
    </row>
    <row r="67" spans="1:4" x14ac:dyDescent="0.2">
      <c r="B67" s="78"/>
      <c r="C67" s="86"/>
      <c r="D67" s="83"/>
    </row>
    <row r="68" spans="1:4" x14ac:dyDescent="0.2">
      <c r="B68" s="78"/>
      <c r="C68" s="86"/>
      <c r="D68" s="83"/>
    </row>
    <row r="69" spans="1:4" x14ac:dyDescent="0.2">
      <c r="B69" s="78"/>
      <c r="C69" s="86"/>
      <c r="D69" s="83"/>
    </row>
    <row r="70" spans="1:4" x14ac:dyDescent="0.2">
      <c r="B70" s="78"/>
      <c r="C70" s="86"/>
      <c r="D70" s="83"/>
    </row>
    <row r="71" spans="1:4" x14ac:dyDescent="0.2">
      <c r="B71" s="78"/>
      <c r="C71" s="86"/>
      <c r="D71" s="83"/>
    </row>
    <row r="72" spans="1:4" x14ac:dyDescent="0.2">
      <c r="B72" s="78"/>
      <c r="C72" s="86"/>
      <c r="D72" s="83"/>
    </row>
    <row r="73" spans="1:4" x14ac:dyDescent="0.2">
      <c r="B73" s="78"/>
      <c r="C73" s="86"/>
      <c r="D73" s="83"/>
    </row>
    <row r="74" spans="1:4" x14ac:dyDescent="0.2">
      <c r="B74" s="78"/>
      <c r="C74" s="86"/>
      <c r="D74" s="83"/>
    </row>
    <row r="75" spans="1:4" x14ac:dyDescent="0.2">
      <c r="B75" s="78"/>
      <c r="C75" s="86"/>
      <c r="D75" s="83"/>
    </row>
    <row r="76" spans="1:4" x14ac:dyDescent="0.2">
      <c r="B76" s="78"/>
      <c r="C76" s="86"/>
      <c r="D76" s="83"/>
    </row>
    <row r="77" spans="1:4" x14ac:dyDescent="0.2">
      <c r="B77" s="78"/>
      <c r="C77" s="86"/>
      <c r="D77" s="83"/>
    </row>
    <row r="78" spans="1:4" x14ac:dyDescent="0.2">
      <c r="B78" s="78"/>
      <c r="C78" s="86"/>
      <c r="D78" s="83"/>
    </row>
    <row r="79" spans="1:4" x14ac:dyDescent="0.2">
      <c r="B79" s="78"/>
      <c r="C79" s="86"/>
      <c r="D79" s="83"/>
    </row>
    <row r="80" spans="1:4" x14ac:dyDescent="0.2">
      <c r="B80" s="78"/>
      <c r="C80" s="86"/>
      <c r="D80" s="83"/>
    </row>
    <row r="81" spans="2:4" x14ac:dyDescent="0.2">
      <c r="B81" s="78"/>
      <c r="C81" s="86"/>
      <c r="D81" s="83"/>
    </row>
    <row r="82" spans="2:4" x14ac:dyDescent="0.2">
      <c r="B82" s="78"/>
      <c r="C82" s="86"/>
      <c r="D82" s="83"/>
    </row>
    <row r="83" spans="2:4" x14ac:dyDescent="0.2">
      <c r="B83" s="78"/>
      <c r="C83" s="86"/>
      <c r="D83" s="83"/>
    </row>
    <row r="84" spans="2:4" x14ac:dyDescent="0.2">
      <c r="B84" s="78"/>
      <c r="C84" s="86"/>
      <c r="D84" s="83"/>
    </row>
    <row r="85" spans="2:4" x14ac:dyDescent="0.2">
      <c r="B85" s="78"/>
      <c r="C85" s="86"/>
      <c r="D85" s="83"/>
    </row>
    <row r="86" spans="2:4" x14ac:dyDescent="0.2">
      <c r="B86" s="78"/>
      <c r="C86" s="86"/>
      <c r="D86" s="83"/>
    </row>
    <row r="87" spans="2:4" x14ac:dyDescent="0.2">
      <c r="B87" s="78"/>
      <c r="C87" s="86"/>
      <c r="D87" s="83"/>
    </row>
    <row r="88" spans="2:4" x14ac:dyDescent="0.2">
      <c r="B88" s="78"/>
      <c r="C88" s="86"/>
      <c r="D88" s="83"/>
    </row>
    <row r="89" spans="2:4" x14ac:dyDescent="0.2">
      <c r="B89" s="78"/>
      <c r="C89" s="86"/>
      <c r="D89" s="83"/>
    </row>
    <row r="90" spans="2:4" x14ac:dyDescent="0.2">
      <c r="B90" s="78"/>
      <c r="C90" s="86"/>
      <c r="D90" s="83"/>
    </row>
    <row r="91" spans="2:4" x14ac:dyDescent="0.2">
      <c r="B91" s="78"/>
      <c r="C91" s="86"/>
      <c r="D91" s="83"/>
    </row>
    <row r="92" spans="2:4" x14ac:dyDescent="0.2">
      <c r="B92" s="78"/>
      <c r="C92" s="86"/>
      <c r="D92" s="83"/>
    </row>
    <row r="93" spans="2:4" x14ac:dyDescent="0.2">
      <c r="B93" s="78"/>
      <c r="C93" s="86"/>
      <c r="D93" s="83"/>
    </row>
    <row r="94" spans="2:4" x14ac:dyDescent="0.2">
      <c r="B94" s="78"/>
      <c r="C94" s="86"/>
      <c r="D94" s="83"/>
    </row>
    <row r="95" spans="2:4" x14ac:dyDescent="0.2">
      <c r="B95" s="78"/>
      <c r="C95" s="86"/>
      <c r="D95" s="83"/>
    </row>
    <row r="96" spans="2:4" x14ac:dyDescent="0.2">
      <c r="B96" s="78"/>
      <c r="C96" s="86"/>
      <c r="D96" s="83"/>
    </row>
    <row r="97" spans="2:4" x14ac:dyDescent="0.2">
      <c r="B97" s="78"/>
      <c r="C97" s="86"/>
      <c r="D97" s="83"/>
    </row>
    <row r="98" spans="2:4" x14ac:dyDescent="0.2">
      <c r="B98" s="78"/>
      <c r="C98" s="86"/>
      <c r="D98" s="83"/>
    </row>
    <row r="99" spans="2:4" x14ac:dyDescent="0.2">
      <c r="B99" s="78"/>
      <c r="C99" s="86"/>
      <c r="D99" s="83"/>
    </row>
    <row r="100" spans="2:4" x14ac:dyDescent="0.2">
      <c r="B100" s="78"/>
      <c r="C100" s="86"/>
      <c r="D100" s="83"/>
    </row>
    <row r="101" spans="2:4" x14ac:dyDescent="0.2">
      <c r="B101" s="78"/>
      <c r="C101" s="86"/>
      <c r="D101" s="83"/>
    </row>
    <row r="102" spans="2:4" x14ac:dyDescent="0.2">
      <c r="B102" s="78"/>
      <c r="C102" s="86"/>
      <c r="D102" s="83"/>
    </row>
    <row r="103" spans="2:4" x14ac:dyDescent="0.2">
      <c r="B103" s="78"/>
      <c r="C103" s="86"/>
      <c r="D103" s="83"/>
    </row>
    <row r="104" spans="2:4" x14ac:dyDescent="0.2">
      <c r="B104" s="78"/>
      <c r="C104" s="86"/>
      <c r="D104" s="83"/>
    </row>
    <row r="105" spans="2:4" x14ac:dyDescent="0.2">
      <c r="B105" s="78"/>
      <c r="C105" s="86"/>
      <c r="D105" s="83"/>
    </row>
    <row r="106" spans="2:4" x14ac:dyDescent="0.2">
      <c r="B106" s="78"/>
      <c r="C106" s="86"/>
      <c r="D106" s="83"/>
    </row>
    <row r="107" spans="2:4" x14ac:dyDescent="0.2">
      <c r="B107" s="78"/>
      <c r="C107" s="86"/>
      <c r="D107" s="83"/>
    </row>
    <row r="108" spans="2:4" x14ac:dyDescent="0.2">
      <c r="B108" s="78"/>
      <c r="C108" s="86"/>
      <c r="D108" s="83"/>
    </row>
    <row r="109" spans="2:4" x14ac:dyDescent="0.2">
      <c r="B109" s="78"/>
      <c r="C109" s="86"/>
      <c r="D109" s="83"/>
    </row>
    <row r="110" spans="2:4" x14ac:dyDescent="0.2">
      <c r="B110" s="78"/>
      <c r="C110" s="86"/>
      <c r="D110" s="83"/>
    </row>
    <row r="111" spans="2:4" x14ac:dyDescent="0.2">
      <c r="B111" s="78"/>
      <c r="C111" s="86"/>
      <c r="D111" s="83"/>
    </row>
    <row r="112" spans="2:4" x14ac:dyDescent="0.2">
      <c r="B112" s="78"/>
      <c r="C112" s="86"/>
      <c r="D112" s="83"/>
    </row>
    <row r="113" spans="2:4" x14ac:dyDescent="0.2">
      <c r="B113" s="78"/>
      <c r="C113" s="86"/>
      <c r="D113" s="83"/>
    </row>
    <row r="114" spans="2:4" x14ac:dyDescent="0.2">
      <c r="B114" s="78"/>
      <c r="C114" s="86"/>
      <c r="D114" s="83"/>
    </row>
    <row r="115" spans="2:4" x14ac:dyDescent="0.2">
      <c r="B115" s="78"/>
      <c r="C115" s="86"/>
      <c r="D115" s="83"/>
    </row>
    <row r="116" spans="2:4" x14ac:dyDescent="0.2">
      <c r="B116" s="78"/>
      <c r="C116" s="86"/>
      <c r="D116" s="83"/>
    </row>
    <row r="117" spans="2:4" x14ac:dyDescent="0.2">
      <c r="B117" s="78"/>
      <c r="C117" s="86"/>
      <c r="D117" s="83"/>
    </row>
    <row r="118" spans="2:4" x14ac:dyDescent="0.2">
      <c r="B118" s="78"/>
      <c r="C118" s="86"/>
      <c r="D118" s="83"/>
    </row>
    <row r="119" spans="2:4" x14ac:dyDescent="0.2">
      <c r="B119" s="78"/>
      <c r="C119" s="86"/>
      <c r="D119" s="83"/>
    </row>
    <row r="120" spans="2:4" x14ac:dyDescent="0.2">
      <c r="B120" s="78"/>
      <c r="C120" s="86"/>
      <c r="D120" s="83"/>
    </row>
    <row r="121" spans="2:4" x14ac:dyDescent="0.2">
      <c r="B121" s="78"/>
      <c r="C121" s="86"/>
      <c r="D121" s="83"/>
    </row>
    <row r="122" spans="2:4" x14ac:dyDescent="0.2">
      <c r="B122" s="78"/>
      <c r="C122" s="86"/>
      <c r="D122" s="83"/>
    </row>
    <row r="123" spans="2:4" x14ac:dyDescent="0.2">
      <c r="B123" s="78"/>
      <c r="C123" s="86"/>
      <c r="D123" s="83"/>
    </row>
    <row r="124" spans="2:4" x14ac:dyDescent="0.2">
      <c r="B124" s="78"/>
      <c r="C124" s="86"/>
      <c r="D124" s="83"/>
    </row>
    <row r="125" spans="2:4" x14ac:dyDescent="0.2">
      <c r="B125" s="78"/>
      <c r="C125" s="86"/>
      <c r="D125" s="83"/>
    </row>
    <row r="126" spans="2:4" x14ac:dyDescent="0.2">
      <c r="B126" s="78"/>
      <c r="C126" s="86"/>
      <c r="D126" s="83"/>
    </row>
    <row r="127" spans="2:4" x14ac:dyDescent="0.2">
      <c r="B127" s="78"/>
      <c r="C127" s="86"/>
      <c r="D127" s="83"/>
    </row>
    <row r="128" spans="2:4" x14ac:dyDescent="0.2">
      <c r="B128" s="78"/>
      <c r="C128" s="86"/>
      <c r="D128" s="83"/>
    </row>
    <row r="129" spans="2:4" x14ac:dyDescent="0.2">
      <c r="B129" s="78"/>
      <c r="C129" s="86"/>
      <c r="D129" s="83"/>
    </row>
    <row r="130" spans="2:4" x14ac:dyDescent="0.2">
      <c r="B130" s="78"/>
      <c r="C130" s="86"/>
      <c r="D130" s="83"/>
    </row>
    <row r="131" spans="2:4" x14ac:dyDescent="0.2">
      <c r="B131" s="78"/>
      <c r="C131" s="86"/>
      <c r="D131" s="83"/>
    </row>
    <row r="132" spans="2:4" x14ac:dyDescent="0.2">
      <c r="B132" s="78"/>
      <c r="C132" s="86"/>
      <c r="D132" s="83"/>
    </row>
    <row r="133" spans="2:4" x14ac:dyDescent="0.2">
      <c r="B133" s="78"/>
      <c r="C133" s="86"/>
    </row>
    <row r="134" spans="2:4" x14ac:dyDescent="0.2">
      <c r="B134" s="78"/>
      <c r="C134" s="86"/>
    </row>
    <row r="135" spans="2:4" x14ac:dyDescent="0.2">
      <c r="B135" s="78"/>
      <c r="C135" s="86"/>
    </row>
    <row r="136" spans="2:4" x14ac:dyDescent="0.2">
      <c r="B136" s="78"/>
      <c r="C136" s="86"/>
    </row>
    <row r="137" spans="2:4" x14ac:dyDescent="0.2">
      <c r="B137" s="78"/>
      <c r="C137" s="86"/>
    </row>
    <row r="138" spans="2:4" x14ac:dyDescent="0.2">
      <c r="B138" s="78"/>
      <c r="C138" s="86"/>
    </row>
    <row r="139" spans="2:4" x14ac:dyDescent="0.2">
      <c r="B139" s="78"/>
      <c r="C139" s="86"/>
    </row>
    <row r="140" spans="2:4" x14ac:dyDescent="0.2">
      <c r="B140" s="78"/>
      <c r="C140" s="86"/>
    </row>
    <row r="141" spans="2:4" x14ac:dyDescent="0.2">
      <c r="B141" s="78"/>
      <c r="C141" s="86"/>
    </row>
    <row r="142" spans="2:4" x14ac:dyDescent="0.2">
      <c r="B142" s="78"/>
      <c r="C142" s="86"/>
    </row>
    <row r="143" spans="2:4" x14ac:dyDescent="0.2">
      <c r="B143" s="78"/>
      <c r="C143" s="86"/>
    </row>
    <row r="144" spans="2:4" x14ac:dyDescent="0.2">
      <c r="B144" s="78"/>
      <c r="C144" s="86"/>
    </row>
    <row r="145" spans="2:3" x14ac:dyDescent="0.2">
      <c r="B145" s="78"/>
      <c r="C145" s="86"/>
    </row>
    <row r="146" spans="2:3" x14ac:dyDescent="0.2">
      <c r="B146" s="78"/>
      <c r="C146" s="86"/>
    </row>
    <row r="147" spans="2:3" x14ac:dyDescent="0.2">
      <c r="B147" s="78"/>
      <c r="C147" s="86"/>
    </row>
    <row r="148" spans="2:3" x14ac:dyDescent="0.2">
      <c r="B148" s="78"/>
      <c r="C148" s="86"/>
    </row>
    <row r="149" spans="2:3" x14ac:dyDescent="0.2">
      <c r="B149" s="78"/>
      <c r="C149" s="86"/>
    </row>
    <row r="150" spans="2:3" x14ac:dyDescent="0.2">
      <c r="B150" s="78"/>
      <c r="C150" s="86"/>
    </row>
    <row r="151" spans="2:3" x14ac:dyDescent="0.2">
      <c r="B151" s="78"/>
      <c r="C151" s="86"/>
    </row>
    <row r="152" spans="2:3" x14ac:dyDescent="0.2">
      <c r="B152" s="78"/>
      <c r="C152" s="86"/>
    </row>
    <row r="153" spans="2:3" x14ac:dyDescent="0.2">
      <c r="B153" s="78"/>
      <c r="C153" s="86"/>
    </row>
    <row r="154" spans="2:3" x14ac:dyDescent="0.2">
      <c r="B154" s="78"/>
      <c r="C154" s="78"/>
    </row>
    <row r="155" spans="2:3" x14ac:dyDescent="0.2">
      <c r="B155" s="78"/>
      <c r="C155" s="78"/>
    </row>
    <row r="156" spans="2:3" x14ac:dyDescent="0.2">
      <c r="B156" s="78"/>
      <c r="C156" s="78"/>
    </row>
    <row r="157" spans="2:3" x14ac:dyDescent="0.2">
      <c r="B157" s="78"/>
      <c r="C157" s="78"/>
    </row>
    <row r="158" spans="2:3" x14ac:dyDescent="0.2">
      <c r="B158" s="78"/>
      <c r="C158" s="78"/>
    </row>
    <row r="159" spans="2:3" x14ac:dyDescent="0.2">
      <c r="B159" s="78"/>
      <c r="C159" s="78"/>
    </row>
    <row r="160" spans="2:3" x14ac:dyDescent="0.2">
      <c r="B160" s="78"/>
      <c r="C160" s="78"/>
    </row>
    <row r="161" spans="2:3" x14ac:dyDescent="0.2">
      <c r="B161" s="78"/>
      <c r="C161" s="7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2</vt:i4>
      </vt:variant>
    </vt:vector>
  </HeadingPairs>
  <TitlesOfParts>
    <vt:vector size="20" baseType="lpstr">
      <vt:lpstr>RE Taxes</vt:lpstr>
      <vt:lpstr> Predevelopment Loan</vt:lpstr>
      <vt:lpstr>Project Size</vt:lpstr>
      <vt:lpstr>Development Budget</vt:lpstr>
      <vt:lpstr>Taxes</vt:lpstr>
      <vt:lpstr>LIHTC</vt:lpstr>
      <vt:lpstr>Rent Roll</vt:lpstr>
      <vt:lpstr>Operating Budget</vt:lpstr>
      <vt:lpstr>resurrection house reference</vt:lpstr>
      <vt:lpstr>BC Operating</vt:lpstr>
      <vt:lpstr>Operating B.</vt:lpstr>
      <vt:lpstr>HMFA Operating 5-10-12</vt:lpstr>
      <vt:lpstr>bostwick project size</vt:lpstr>
      <vt:lpstr>bostwick dev budget</vt:lpstr>
      <vt:lpstr>bostwick rent roll</vt:lpstr>
      <vt:lpstr>bostwick operating</vt:lpstr>
      <vt:lpstr>combined info</vt:lpstr>
      <vt:lpstr>Sheet1</vt:lpstr>
      <vt:lpstr>' Predevelopment Loan'!Print_Area</vt:lpstr>
      <vt:lpstr>'Development Budget'!Print_Area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Restrepo</dc:creator>
  <cp:lastModifiedBy>John Restrepo</cp:lastModifiedBy>
  <cp:lastPrinted>2013-09-25T12:54:49Z</cp:lastPrinted>
  <dcterms:created xsi:type="dcterms:W3CDTF">2006-05-01T18:35:43Z</dcterms:created>
  <dcterms:modified xsi:type="dcterms:W3CDTF">2013-09-25T13:57:16Z</dcterms:modified>
</cp:coreProperties>
</file>